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読み・書き教材倉庫/souko/05kanji/yomi/"/>
    </mc:Choice>
  </mc:AlternateContent>
  <xr:revisionPtr revIDLastSave="342" documentId="11_448C3C4A2469A1B8C6C95542A762C6FAA4336160" xr6:coauthVersionLast="47" xr6:coauthVersionMax="47" xr10:uidLastSave="{A4FDE846-7177-4B4E-85A8-DCABDD2E4AD7}"/>
  <bookViews>
    <workbookView xWindow="-120" yWindow="-120" windowWidth="29040" windowHeight="15720" xr2:uid="{00000000-000D-0000-FFFF-FFFF00000000}"/>
  </bookViews>
  <sheets>
    <sheet name="答え記入シート" sheetId="3" r:id="rId1"/>
    <sheet name="問題シート" sheetId="1" r:id="rId2"/>
    <sheet name="操作シート" sheetId="4" state="hidden" r:id="rId3"/>
  </sheets>
  <definedNames>
    <definedName name="mondai">操作シート!$B$1:$X$10</definedName>
    <definedName name="_xlnm.Print_Area" localSheetId="0">答え記入シート!$A$4:$BI$15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4" l="1"/>
  <c r="M9" i="4"/>
  <c r="M8" i="4"/>
  <c r="M7" i="4"/>
  <c r="M6" i="4"/>
  <c r="M5" i="4"/>
  <c r="M4" i="4"/>
  <c r="M3" i="4"/>
  <c r="M2" i="4"/>
  <c r="X10" i="4"/>
  <c r="X9" i="4"/>
  <c r="X8" i="4"/>
  <c r="X7" i="4"/>
  <c r="X6" i="4"/>
  <c r="X5" i="4"/>
  <c r="X4" i="4"/>
  <c r="X3" i="4"/>
  <c r="X2" i="4"/>
  <c r="X1" i="4"/>
  <c r="M21" i="1"/>
  <c r="M19" i="1"/>
  <c r="M17" i="1"/>
  <c r="M15" i="1"/>
  <c r="M13" i="1"/>
  <c r="M11" i="1"/>
  <c r="M9" i="1"/>
  <c r="M7" i="1"/>
  <c r="M5" i="1"/>
  <c r="M3" i="1"/>
  <c r="M1" i="4" s="1"/>
  <c r="A10" i="4"/>
  <c r="A9" i="4"/>
  <c r="A8" i="4"/>
  <c r="A7" i="4"/>
  <c r="A6" i="4"/>
  <c r="A5" i="4"/>
  <c r="A4" i="4"/>
  <c r="A3" i="4"/>
  <c r="A2" i="4"/>
  <c r="A1" i="4"/>
  <c r="B6" i="4" l="1"/>
  <c r="B4" i="4"/>
  <c r="B2" i="4"/>
  <c r="B10" i="4"/>
  <c r="B5" i="4"/>
  <c r="B3" i="4"/>
  <c r="B7" i="4"/>
  <c r="B1" i="4"/>
  <c r="B9" i="4"/>
  <c r="B8" i="4"/>
  <c r="W10" i="4"/>
  <c r="V10" i="4"/>
  <c r="U10" i="4"/>
  <c r="T10" i="4"/>
  <c r="S10" i="4"/>
  <c r="R10" i="4"/>
  <c r="Q10" i="4"/>
  <c r="P10" i="4"/>
  <c r="O10" i="4"/>
  <c r="N10" i="4"/>
  <c r="W9" i="4"/>
  <c r="V9" i="4"/>
  <c r="U9" i="4"/>
  <c r="T9" i="4"/>
  <c r="S9" i="4"/>
  <c r="R9" i="4"/>
  <c r="Q9" i="4"/>
  <c r="P9" i="4"/>
  <c r="O9" i="4"/>
  <c r="N9" i="4"/>
  <c r="W8" i="4"/>
  <c r="V8" i="4"/>
  <c r="U8" i="4"/>
  <c r="T8" i="4"/>
  <c r="S8" i="4"/>
  <c r="R8" i="4"/>
  <c r="Q8" i="4"/>
  <c r="P8" i="4"/>
  <c r="O8" i="4"/>
  <c r="N8" i="4"/>
  <c r="W7" i="4"/>
  <c r="V7" i="4"/>
  <c r="U7" i="4"/>
  <c r="T7" i="4"/>
  <c r="S7" i="4"/>
  <c r="R7" i="4"/>
  <c r="Q7" i="4"/>
  <c r="P7" i="4"/>
  <c r="O7" i="4"/>
  <c r="N7" i="4"/>
  <c r="W6" i="4"/>
  <c r="V6" i="4"/>
  <c r="U6" i="4"/>
  <c r="T6" i="4"/>
  <c r="S6" i="4"/>
  <c r="R6" i="4"/>
  <c r="Q6" i="4"/>
  <c r="P6" i="4"/>
  <c r="O6" i="4"/>
  <c r="N6" i="4"/>
  <c r="W5" i="4"/>
  <c r="V5" i="4"/>
  <c r="U5" i="4"/>
  <c r="T5" i="4"/>
  <c r="S5" i="4"/>
  <c r="R5" i="4"/>
  <c r="Q5" i="4"/>
  <c r="P5" i="4"/>
  <c r="O5" i="4"/>
  <c r="N5" i="4"/>
  <c r="W4" i="4"/>
  <c r="V4" i="4"/>
  <c r="U4" i="4"/>
  <c r="T4" i="4"/>
  <c r="S4" i="4"/>
  <c r="R4" i="4"/>
  <c r="Q4" i="4"/>
  <c r="P4" i="4"/>
  <c r="O4" i="4"/>
  <c r="N4" i="4"/>
  <c r="W3" i="4"/>
  <c r="V3" i="4"/>
  <c r="U3" i="4"/>
  <c r="T3" i="4"/>
  <c r="S3" i="4"/>
  <c r="R3" i="4"/>
  <c r="Q3" i="4"/>
  <c r="P3" i="4"/>
  <c r="O3" i="4"/>
  <c r="N3" i="4"/>
  <c r="W2" i="4"/>
  <c r="V2" i="4"/>
  <c r="U2" i="4"/>
  <c r="T2" i="4"/>
  <c r="S2" i="4"/>
  <c r="R2" i="4"/>
  <c r="Q2" i="4"/>
  <c r="P2" i="4"/>
  <c r="O2" i="4"/>
  <c r="N2" i="4"/>
  <c r="W1" i="4"/>
  <c r="V1" i="4"/>
  <c r="U1" i="4"/>
  <c r="T1" i="4"/>
  <c r="S1" i="4"/>
  <c r="R1" i="4"/>
  <c r="Q1" i="4"/>
  <c r="P1" i="4"/>
  <c r="O1" i="4"/>
  <c r="N1" i="4"/>
  <c r="C9" i="1"/>
  <c r="C4" i="4" s="1"/>
  <c r="L21" i="1"/>
  <c r="L10" i="4" s="1"/>
  <c r="K21" i="1"/>
  <c r="K10" i="4" s="1"/>
  <c r="J21" i="1"/>
  <c r="J10" i="4" s="1"/>
  <c r="I21" i="1"/>
  <c r="I10" i="4" s="1"/>
  <c r="H21" i="1"/>
  <c r="H10" i="4" s="1"/>
  <c r="G21" i="1"/>
  <c r="G10" i="4" s="1"/>
  <c r="F21" i="1"/>
  <c r="F10" i="4" s="1"/>
  <c r="E21" i="1"/>
  <c r="E10" i="4" s="1"/>
  <c r="D21" i="1"/>
  <c r="D10" i="4" s="1"/>
  <c r="C21" i="1"/>
  <c r="C10" i="4" s="1"/>
  <c r="L19" i="1"/>
  <c r="L9" i="4" s="1"/>
  <c r="K19" i="1"/>
  <c r="K9" i="4" s="1"/>
  <c r="J19" i="1"/>
  <c r="J9" i="4" s="1"/>
  <c r="I19" i="1"/>
  <c r="I9" i="4" s="1"/>
  <c r="H19" i="1"/>
  <c r="H9" i="4" s="1"/>
  <c r="G19" i="1"/>
  <c r="G9" i="4" s="1"/>
  <c r="F19" i="1"/>
  <c r="F9" i="4" s="1"/>
  <c r="E19" i="1"/>
  <c r="E9" i="4" s="1"/>
  <c r="D19" i="1"/>
  <c r="D9" i="4" s="1"/>
  <c r="C19" i="1"/>
  <c r="C9" i="4" s="1"/>
  <c r="L17" i="1"/>
  <c r="L8" i="4" s="1"/>
  <c r="K17" i="1"/>
  <c r="K8" i="4" s="1"/>
  <c r="J17" i="1"/>
  <c r="J8" i="4" s="1"/>
  <c r="I17" i="1"/>
  <c r="I8" i="4" s="1"/>
  <c r="H17" i="1"/>
  <c r="H8" i="4" s="1"/>
  <c r="G17" i="1"/>
  <c r="G8" i="4" s="1"/>
  <c r="F17" i="1"/>
  <c r="F8" i="4" s="1"/>
  <c r="E17" i="1"/>
  <c r="E8" i="4" s="1"/>
  <c r="D17" i="1"/>
  <c r="D8" i="4" s="1"/>
  <c r="C17" i="1"/>
  <c r="C8" i="4" s="1"/>
  <c r="L15" i="1"/>
  <c r="L7" i="4" s="1"/>
  <c r="K15" i="1"/>
  <c r="K7" i="4" s="1"/>
  <c r="J15" i="1"/>
  <c r="J7" i="4" s="1"/>
  <c r="I15" i="1"/>
  <c r="I7" i="4" s="1"/>
  <c r="H15" i="1"/>
  <c r="H7" i="4" s="1"/>
  <c r="G15" i="1"/>
  <c r="G7" i="4" s="1"/>
  <c r="F15" i="1"/>
  <c r="F7" i="4" s="1"/>
  <c r="E15" i="1"/>
  <c r="E7" i="4" s="1"/>
  <c r="D15" i="1"/>
  <c r="D7" i="4" s="1"/>
  <c r="C15" i="1"/>
  <c r="C7" i="4" s="1"/>
  <c r="L13" i="1"/>
  <c r="L6" i="4" s="1"/>
  <c r="K13" i="1"/>
  <c r="K6" i="4" s="1"/>
  <c r="J13" i="1"/>
  <c r="J6" i="4" s="1"/>
  <c r="I13" i="1"/>
  <c r="I6" i="4" s="1"/>
  <c r="H13" i="1"/>
  <c r="H6" i="4" s="1"/>
  <c r="G13" i="1"/>
  <c r="G6" i="4" s="1"/>
  <c r="F13" i="1"/>
  <c r="F6" i="4" s="1"/>
  <c r="E13" i="1"/>
  <c r="E6" i="4" s="1"/>
  <c r="D13" i="1"/>
  <c r="D6" i="4" s="1"/>
  <c r="C13" i="1"/>
  <c r="C6" i="4" s="1"/>
  <c r="L11" i="1"/>
  <c r="L5" i="4" s="1"/>
  <c r="K11" i="1"/>
  <c r="K5" i="4" s="1"/>
  <c r="J11" i="1"/>
  <c r="J5" i="4" s="1"/>
  <c r="I11" i="1"/>
  <c r="I5" i="4" s="1"/>
  <c r="H11" i="1"/>
  <c r="H5" i="4" s="1"/>
  <c r="G11" i="1"/>
  <c r="G5" i="4" s="1"/>
  <c r="F11" i="1"/>
  <c r="F5" i="4" s="1"/>
  <c r="E11" i="1"/>
  <c r="E5" i="4" s="1"/>
  <c r="D11" i="1"/>
  <c r="D5" i="4" s="1"/>
  <c r="C11" i="1"/>
  <c r="C5" i="4" s="1"/>
  <c r="L9" i="1"/>
  <c r="L4" i="4" s="1"/>
  <c r="K9" i="1"/>
  <c r="K4" i="4" s="1"/>
  <c r="J9" i="1"/>
  <c r="J4" i="4" s="1"/>
  <c r="I9" i="1"/>
  <c r="I4" i="4" s="1"/>
  <c r="H9" i="1"/>
  <c r="H4" i="4" s="1"/>
  <c r="G9" i="1"/>
  <c r="G4" i="4" s="1"/>
  <c r="F9" i="1"/>
  <c r="F4" i="4" s="1"/>
  <c r="E9" i="1"/>
  <c r="E4" i="4" s="1"/>
  <c r="D9" i="1"/>
  <c r="D4" i="4" s="1"/>
  <c r="L7" i="1"/>
  <c r="L3" i="4" s="1"/>
  <c r="K7" i="1"/>
  <c r="K3" i="4" s="1"/>
  <c r="J7" i="1"/>
  <c r="J3" i="4" s="1"/>
  <c r="I7" i="1"/>
  <c r="I3" i="4" s="1"/>
  <c r="H7" i="1"/>
  <c r="H3" i="4" s="1"/>
  <c r="G7" i="1"/>
  <c r="G3" i="4" s="1"/>
  <c r="F7" i="1"/>
  <c r="F3" i="4" s="1"/>
  <c r="E7" i="1"/>
  <c r="E3" i="4" s="1"/>
  <c r="D7" i="1"/>
  <c r="D3" i="4" s="1"/>
  <c r="C7" i="1"/>
  <c r="C3" i="4" s="1"/>
  <c r="L5" i="1"/>
  <c r="L2" i="4" s="1"/>
  <c r="K5" i="1"/>
  <c r="K2" i="4" s="1"/>
  <c r="J5" i="1"/>
  <c r="J2" i="4" s="1"/>
  <c r="I5" i="1"/>
  <c r="I2" i="4" s="1"/>
  <c r="H5" i="1"/>
  <c r="H2" i="4" s="1"/>
  <c r="G5" i="1"/>
  <c r="G2" i="4" s="1"/>
  <c r="F5" i="1"/>
  <c r="F2" i="4" s="1"/>
  <c r="E5" i="1"/>
  <c r="E2" i="4" s="1"/>
  <c r="D5" i="1"/>
  <c r="D2" i="4" s="1"/>
  <c r="C5" i="1"/>
  <c r="C2" i="4" s="1"/>
  <c r="L3" i="1"/>
  <c r="L1" i="4" s="1"/>
  <c r="K3" i="1"/>
  <c r="K1" i="4" s="1"/>
  <c r="J3" i="1"/>
  <c r="J1" i="4" s="1"/>
  <c r="I3" i="1"/>
  <c r="I1" i="4" s="1"/>
  <c r="H3" i="1"/>
  <c r="H1" i="4" s="1"/>
  <c r="G3" i="1"/>
  <c r="G1" i="4" s="1"/>
  <c r="F3" i="1"/>
  <c r="F1" i="4" s="1"/>
  <c r="E3" i="1"/>
  <c r="E1" i="4" s="1"/>
  <c r="D3" i="1"/>
  <c r="D1" i="4" s="1"/>
  <c r="C3" i="1"/>
  <c r="C1" i="4" s="1"/>
  <c r="C14" i="3" l="1"/>
  <c r="C13" i="3"/>
  <c r="C12" i="3"/>
  <c r="C11" i="3"/>
  <c r="C10" i="3"/>
  <c r="C9" i="3"/>
  <c r="C8" i="3"/>
  <c r="C7" i="3"/>
  <c r="C6" i="3"/>
  <c r="C5" i="3"/>
  <c r="C15" i="3"/>
  <c r="I13" i="3"/>
  <c r="I12" i="3"/>
  <c r="I11" i="3"/>
  <c r="I10" i="3"/>
  <c r="I9" i="3"/>
  <c r="I8" i="3"/>
  <c r="I7" i="3"/>
  <c r="I6" i="3"/>
  <c r="I5" i="3"/>
  <c r="I15" i="3"/>
  <c r="I14" i="3"/>
  <c r="O15" i="3"/>
  <c r="O14" i="3"/>
  <c r="O6" i="3"/>
  <c r="O13" i="3"/>
  <c r="O10" i="3"/>
  <c r="O9" i="3"/>
  <c r="O12" i="3"/>
  <c r="O11" i="3"/>
  <c r="O8" i="3"/>
  <c r="O7" i="3"/>
  <c r="O5" i="3"/>
  <c r="U14" i="3"/>
  <c r="U11" i="3"/>
  <c r="U10" i="3"/>
  <c r="U9" i="3"/>
  <c r="U8" i="3"/>
  <c r="U7" i="3"/>
  <c r="U6" i="3"/>
  <c r="U5" i="3"/>
  <c r="U15" i="3"/>
  <c r="U13" i="3"/>
  <c r="U12" i="3"/>
  <c r="AA15" i="3"/>
  <c r="AA14" i="3"/>
  <c r="AA13" i="3"/>
  <c r="AA12" i="3"/>
  <c r="AA11" i="3"/>
  <c r="AA10" i="3"/>
  <c r="AA9" i="3"/>
  <c r="AA8" i="3"/>
  <c r="AA7" i="3"/>
  <c r="AA6" i="3"/>
  <c r="AA5" i="3"/>
  <c r="AG15" i="3"/>
  <c r="AG14" i="3"/>
  <c r="AG13" i="3"/>
  <c r="AG12" i="3"/>
  <c r="AG11" i="3"/>
  <c r="AG10" i="3"/>
  <c r="AG9" i="3"/>
  <c r="AG8" i="3"/>
  <c r="AG7" i="3"/>
  <c r="AG6" i="3"/>
  <c r="AG5" i="3"/>
  <c r="AM15" i="3"/>
  <c r="AM14" i="3"/>
  <c r="AM13" i="3"/>
  <c r="AM12" i="3"/>
  <c r="AM11" i="3"/>
  <c r="AM10" i="3"/>
  <c r="AM9" i="3"/>
  <c r="AM8" i="3"/>
  <c r="AM7" i="3"/>
  <c r="AM6" i="3"/>
  <c r="AM5" i="3"/>
  <c r="AS15" i="3"/>
  <c r="AS14" i="3"/>
  <c r="AS13" i="3"/>
  <c r="AS12" i="3"/>
  <c r="AS11" i="3"/>
  <c r="AS10" i="3"/>
  <c r="AS9" i="3"/>
  <c r="AS8" i="3"/>
  <c r="AS7" i="3"/>
  <c r="AS6" i="3"/>
  <c r="AS5" i="3"/>
  <c r="AY15" i="3"/>
  <c r="AY14" i="3"/>
  <c r="AY13" i="3"/>
  <c r="AY12" i="3"/>
  <c r="AY11" i="3"/>
  <c r="AY10" i="3"/>
  <c r="AY9" i="3"/>
  <c r="AY8" i="3"/>
  <c r="AY7" i="3"/>
  <c r="AY6" i="3"/>
  <c r="AY5" i="3"/>
  <c r="BE14" i="3"/>
  <c r="BE15" i="3"/>
  <c r="AW15" i="3"/>
  <c r="AQ15" i="3"/>
  <c r="AK15" i="3"/>
  <c r="AE15" i="3"/>
  <c r="Y15" i="3"/>
  <c r="S15" i="3"/>
  <c r="M15" i="3"/>
  <c r="G15" i="3"/>
  <c r="A15" i="3"/>
  <c r="BC15" i="3"/>
  <c r="A12" i="3"/>
  <c r="A11" i="3"/>
  <c r="A10" i="3"/>
  <c r="A9" i="3"/>
  <c r="A8" i="3"/>
  <c r="A7" i="3"/>
  <c r="A6" i="3"/>
  <c r="A5" i="3"/>
  <c r="A14" i="3"/>
  <c r="A13" i="3"/>
  <c r="G14" i="3"/>
  <c r="G13" i="3"/>
  <c r="G12" i="3"/>
  <c r="G11" i="3"/>
  <c r="G10" i="3"/>
  <c r="G9" i="3"/>
  <c r="G8" i="3"/>
  <c r="G7" i="3"/>
  <c r="G6" i="3"/>
  <c r="G5" i="3"/>
  <c r="M14" i="3"/>
  <c r="M12" i="3"/>
  <c r="M11" i="3"/>
  <c r="M10" i="3"/>
  <c r="M9" i="3"/>
  <c r="M8" i="3"/>
  <c r="M7" i="3"/>
  <c r="M6" i="3"/>
  <c r="M5" i="3"/>
  <c r="M13" i="3"/>
  <c r="S12" i="3"/>
  <c r="S11" i="3"/>
  <c r="S8" i="3"/>
  <c r="S6" i="3"/>
  <c r="S14" i="3"/>
  <c r="S13" i="3"/>
  <c r="S10" i="3"/>
  <c r="S9" i="3"/>
  <c r="S7" i="3"/>
  <c r="S5" i="3"/>
  <c r="Y14" i="3"/>
  <c r="Y13" i="3"/>
  <c r="Y12" i="3"/>
  <c r="Y11" i="3"/>
  <c r="Y10" i="3"/>
  <c r="Y9" i="3"/>
  <c r="Y8" i="3"/>
  <c r="Y7" i="3"/>
  <c r="Y6" i="3"/>
  <c r="Y5" i="3"/>
  <c r="AE14" i="3"/>
  <c r="AE11" i="3"/>
  <c r="AE9" i="3"/>
  <c r="AE7" i="3"/>
  <c r="AE5" i="3"/>
  <c r="AE13" i="3"/>
  <c r="AE12" i="3"/>
  <c r="AE10" i="3"/>
  <c r="AE8" i="3"/>
  <c r="AE6" i="3"/>
  <c r="AK14" i="3"/>
  <c r="AK13" i="3"/>
  <c r="AK12" i="3"/>
  <c r="AK11" i="3"/>
  <c r="AK10" i="3"/>
  <c r="AK9" i="3"/>
  <c r="AK8" i="3"/>
  <c r="AK7" i="3"/>
  <c r="AK6" i="3"/>
  <c r="AK5" i="3"/>
  <c r="AQ12" i="3"/>
  <c r="AQ11" i="3"/>
  <c r="AQ10" i="3"/>
  <c r="AQ9" i="3"/>
  <c r="AQ8" i="3"/>
  <c r="AQ7" i="3"/>
  <c r="AQ6" i="3"/>
  <c r="AQ5" i="3"/>
  <c r="AQ14" i="3"/>
  <c r="AQ13" i="3"/>
  <c r="AW5" i="3"/>
  <c r="AW13" i="3"/>
  <c r="AW12" i="3"/>
  <c r="AW11" i="3"/>
  <c r="AW9" i="3"/>
  <c r="AW6" i="3"/>
  <c r="AW14" i="3"/>
  <c r="AW10" i="3"/>
  <c r="AW8" i="3"/>
  <c r="AW7" i="3"/>
  <c r="BC14" i="3"/>
  <c r="BC13" i="3"/>
  <c r="BC12" i="3"/>
  <c r="BC11" i="3"/>
  <c r="BC10" i="3"/>
  <c r="BC8" i="3"/>
  <c r="BC9" i="3"/>
  <c r="BC6" i="3"/>
  <c r="BC7" i="3"/>
  <c r="BC5" i="3"/>
  <c r="BE8" i="3"/>
  <c r="BE12" i="3"/>
  <c r="BE9" i="3"/>
  <c r="BE5" i="3"/>
  <c r="BE11" i="3"/>
  <c r="BE13" i="3"/>
  <c r="BE10" i="3"/>
  <c r="BE6" i="3"/>
  <c r="BE7" i="3"/>
</calcChain>
</file>

<file path=xl/sharedStrings.xml><?xml version="1.0" encoding="utf-8"?>
<sst xmlns="http://schemas.openxmlformats.org/spreadsheetml/2006/main" count="73" uniqueCount="70">
  <si>
    <t>⑤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</si>
  <si>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</si>
  <si>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</si>
  <si>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</si>
  <si>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</si>
  <si>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なまえ（　　　　　　　　　　　　　）</t>
    <phoneticPr fontId="1"/>
  </si>
  <si>
    <t>早起きの習慣</t>
    <rPh sb="0" eb="2">
      <t>ハヤオ</t>
    </rPh>
    <rPh sb="4" eb="6">
      <t>シュウカン</t>
    </rPh>
    <phoneticPr fontId="1"/>
  </si>
  <si>
    <t>印象がよい</t>
    <rPh sb="0" eb="2">
      <t>インショウ</t>
    </rPh>
    <phoneticPr fontId="1"/>
  </si>
  <si>
    <t>失敗する可能性</t>
    <rPh sb="0" eb="2">
      <t>シッパイ</t>
    </rPh>
    <rPh sb="4" eb="7">
      <t>カノウセイ</t>
    </rPh>
    <phoneticPr fontId="1"/>
  </si>
  <si>
    <t>色が混じる</t>
    <rPh sb="0" eb="1">
      <t>イロ</t>
    </rPh>
    <rPh sb="2" eb="3">
      <t>マ</t>
    </rPh>
    <phoneticPr fontId="1"/>
  </si>
  <si>
    <t>思いこみやすいそく</t>
    <rPh sb="0" eb="1">
      <t>オモ</t>
    </rPh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</si>
  <si>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</si>
  <si>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</si>
  <si>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</si>
  <si>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</si>
  <si>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</si>
  <si>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情報を得る</t>
    <rPh sb="0" eb="2">
      <t>ジョウホウ</t>
    </rPh>
    <rPh sb="3" eb="4">
      <t>エ</t>
    </rPh>
    <phoneticPr fontId="1"/>
  </si>
  <si>
    <t>判断を下す</t>
    <rPh sb="0" eb="2">
      <t>ハンダン</t>
    </rPh>
    <rPh sb="3" eb="4">
      <t>クダ</t>
    </rPh>
    <phoneticPr fontId="1"/>
  </si>
  <si>
    <t>回数を減らす</t>
    <rPh sb="0" eb="2">
      <t>カイスウ</t>
    </rPh>
    <rPh sb="3" eb="4">
      <t>ヘ</t>
    </rPh>
    <phoneticPr fontId="1"/>
  </si>
  <si>
    <t>会長が辞任する</t>
    <rPh sb="0" eb="2">
      <t>カイチョウ</t>
    </rPh>
    <rPh sb="3" eb="5">
      <t>ジニン</t>
    </rPh>
    <phoneticPr fontId="1"/>
  </si>
  <si>
    <t>入れる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</si>
  <si>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</si>
  <si>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</si>
  <si>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</si>
  <si>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</si>
  <si>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</si>
  <si>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</si>
  <si>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</si>
  <si>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</si>
  <si>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</si>
  <si>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</si>
  <si>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しん</t>
    <phoneticPr fontId="1"/>
  </si>
  <si>
    <t>ぶん</t>
    <phoneticPr fontId="1"/>
  </si>
  <si>
    <t>き</t>
    <phoneticPr fontId="1"/>
  </si>
  <si>
    <t>じ</t>
    <phoneticPr fontId="1"/>
  </si>
  <si>
    <t>ない</t>
    <phoneticPr fontId="1"/>
  </si>
  <si>
    <t>よう</t>
    <phoneticPr fontId="1"/>
  </si>
  <si>
    <t>じょう</t>
    <phoneticPr fontId="1"/>
  </si>
  <si>
    <t>ほう</t>
    <phoneticPr fontId="1"/>
  </si>
  <si>
    <t>え</t>
    <phoneticPr fontId="1"/>
  </si>
  <si>
    <t>はん</t>
    <phoneticPr fontId="1"/>
  </si>
  <si>
    <t>だん</t>
    <phoneticPr fontId="1"/>
  </si>
  <si>
    <t>くだ</t>
    <phoneticPr fontId="1"/>
  </si>
  <si>
    <t>かい</t>
    <phoneticPr fontId="1"/>
  </si>
  <si>
    <t>すう</t>
    <phoneticPr fontId="1"/>
  </si>
  <si>
    <t>へ</t>
    <phoneticPr fontId="1"/>
  </si>
  <si>
    <t>ちょう</t>
    <phoneticPr fontId="1"/>
  </si>
  <si>
    <t>にん</t>
    <phoneticPr fontId="1"/>
  </si>
  <si>
    <t>はや</t>
    <phoneticPr fontId="1"/>
  </si>
  <si>
    <t>お</t>
    <phoneticPr fontId="1"/>
  </si>
  <si>
    <t>しゅう</t>
    <phoneticPr fontId="1"/>
  </si>
  <si>
    <t>かん</t>
    <phoneticPr fontId="1"/>
  </si>
  <si>
    <t>いん</t>
    <phoneticPr fontId="1"/>
  </si>
  <si>
    <t>しょう</t>
    <phoneticPr fontId="1"/>
  </si>
  <si>
    <t>しっ</t>
    <phoneticPr fontId="1"/>
  </si>
  <si>
    <t>ぱい</t>
    <phoneticPr fontId="1"/>
  </si>
  <si>
    <t>か</t>
    <phoneticPr fontId="1"/>
  </si>
  <si>
    <t>のう</t>
    <phoneticPr fontId="1"/>
  </si>
  <si>
    <t>せい</t>
    <phoneticPr fontId="1"/>
  </si>
  <si>
    <t>いろ</t>
    <phoneticPr fontId="1"/>
  </si>
  <si>
    <t>ま</t>
    <phoneticPr fontId="1"/>
  </si>
  <si>
    <t>おも</t>
    <phoneticPr fontId="1"/>
  </si>
  <si>
    <t>使い方：B列に問題文を入力してください。横に出てきた問題文の漢字の上に読みがなを入れてください。</t>
    <rPh sb="0" eb="1">
      <t>ツカ</t>
    </rPh>
    <rPh sb="2" eb="3">
      <t>カタ</t>
    </rPh>
    <rPh sb="5" eb="6">
      <t>レツ</t>
    </rPh>
    <rPh sb="7" eb="10">
      <t>モンダイブン</t>
    </rPh>
    <rPh sb="11" eb="13">
      <t>ニュウリョク</t>
    </rPh>
    <rPh sb="20" eb="21">
      <t>ヨコ</t>
    </rPh>
    <rPh sb="22" eb="23">
      <t>デ</t>
    </rPh>
    <rPh sb="26" eb="29">
      <t>モンダイブン</t>
    </rPh>
    <rPh sb="30" eb="32">
      <t>カンジ</t>
    </rPh>
    <rPh sb="33" eb="34">
      <t>ウエ</t>
    </rPh>
    <rPh sb="35" eb="36">
      <t>ヨ</t>
    </rPh>
    <rPh sb="40" eb="41">
      <t>イ</t>
    </rPh>
    <phoneticPr fontId="1"/>
  </si>
  <si>
    <t>このシートは印刷シートです。問題文を作成するときは下の「問題シート」に行ってください。</t>
    <rPh sb="6" eb="8">
      <t>インサツ</t>
    </rPh>
    <rPh sb="14" eb="17">
      <t>モンダイブン</t>
    </rPh>
    <rPh sb="18" eb="20">
      <t>サクセイ</t>
    </rPh>
    <rPh sb="25" eb="26">
      <t>シタ</t>
    </rPh>
    <rPh sb="28" eb="30">
      <t>モンダイ</t>
    </rPh>
    <rPh sb="35" eb="36">
      <t>イ</t>
    </rPh>
    <phoneticPr fontId="1"/>
  </si>
  <si>
    <t>新聞記事の内容を吟味する</t>
    <rPh sb="0" eb="2">
      <t>シンブン</t>
    </rPh>
    <rPh sb="2" eb="4">
      <t>キジ</t>
    </rPh>
    <rPh sb="5" eb="7">
      <t>ナイヨウ</t>
    </rPh>
    <rPh sb="8" eb="10">
      <t>ギンミ</t>
    </rPh>
    <phoneticPr fontId="1"/>
  </si>
  <si>
    <t>ぎん</t>
    <phoneticPr fontId="1"/>
  </si>
  <si>
    <t>み</t>
    <phoneticPr fontId="1"/>
  </si>
  <si>
    <t>漢字の読みを書きましょう</t>
    <rPh sb="0" eb="2">
      <t>カンジ</t>
    </rPh>
    <rPh sb="3" eb="4">
      <t>ヨ</t>
    </rPh>
    <rPh sb="6" eb="7">
      <t>カ</t>
    </rPh>
    <phoneticPr fontId="1"/>
  </si>
  <si>
    <t>読みの表示</t>
    <rPh sb="0" eb="1">
      <t>ヨ</t>
    </rPh>
    <rPh sb="3" eb="5">
      <t>ヒョウジ</t>
    </rPh>
    <phoneticPr fontId="1"/>
  </si>
  <si>
    <t>漢字の表示</t>
    <rPh sb="0" eb="2">
      <t>カンジ</t>
    </rPh>
    <rPh sb="3" eb="5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</si>
</sst>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UD デジタル 教科書体 N-R"/>
      <family val="1"/>
      <charset val="128"/>
    </font>
    <font>
      <sz val="1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 shrinkToFit="1"/>
    </xf>
    <xf numFmtId="0" fontId="8" fillId="0" borderId="10" xfId="0" applyFont="1" applyBorder="1" applyAlignment="1">
      <alignment horizontal="center" vertical="center" textRotation="255" shrinkToFit="1"/>
    </xf>
    <xf numFmtId="0" fontId="7" fillId="0" borderId="11" xfId="0" applyFont="1" applyBorder="1" applyAlignment="1">
      <alignment horizontal="center" vertical="center" textRotation="255" shrinkToFit="1"/>
    </xf>
    <xf numFmtId="0" fontId="8" fillId="0" borderId="1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textRotation="255" shrinkToFit="1"/>
    </xf>
    <xf numFmtId="0" fontId="7" fillId="0" borderId="22" xfId="0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left" vertical="center" textRotation="255"/>
    </xf>
    <xf numFmtId="0" fontId="0" fillId="0" borderId="16" xfId="0" applyBorder="1" applyAlignment="1">
      <alignment horizontal="left" vertical="center" textRotation="255"/>
    </xf>
    <xf numFmtId="0" fontId="0" fillId="0" borderId="17" xfId="0" applyBorder="1" applyAlignment="1">
      <alignment horizontal="left" vertical="center" textRotation="255"/>
    </xf>
    <xf numFmtId="0" fontId="6" fillId="0" borderId="18" xfId="0" applyFont="1" applyBorder="1" applyAlignment="1">
      <alignment horizontal="left" vertical="center" textRotation="255"/>
    </xf>
    <xf numFmtId="0" fontId="0" fillId="0" borderId="0" xfId="0" applyAlignment="1">
      <alignment horizontal="left" vertical="center" textRotation="255"/>
    </xf>
    <xf numFmtId="0" fontId="0" fillId="0" borderId="19" xfId="0" applyBorder="1" applyAlignment="1">
      <alignment horizontal="left" vertical="center" textRotation="255"/>
    </xf>
    <xf numFmtId="0" fontId="6" fillId="0" borderId="16" xfId="0" applyFont="1" applyBorder="1" applyAlignment="1">
      <alignment horizontal="left" vertical="center" textRotation="255"/>
    </xf>
    <xf numFmtId="0" fontId="6" fillId="0" borderId="17" xfId="0" applyFont="1" applyBorder="1" applyAlignment="1">
      <alignment horizontal="left" vertical="center" textRotation="255"/>
    </xf>
    <xf numFmtId="0" fontId="6" fillId="0" borderId="0" xfId="0" applyFont="1" applyAlignment="1">
      <alignment horizontal="left" vertical="center" textRotation="255"/>
    </xf>
    <xf numFmtId="0" fontId="6" fillId="0" borderId="19" xfId="0" applyFont="1" applyBorder="1" applyAlignment="1">
      <alignment horizontal="left" vertical="center" textRotation="255"/>
    </xf>
    <xf numFmtId="0" fontId="6" fillId="0" borderId="20" xfId="0" applyFont="1" applyBorder="1" applyAlignment="1">
      <alignment horizontal="left" vertical="center" textRotation="255"/>
    </xf>
    <xf numFmtId="0" fontId="0" fillId="0" borderId="4" xfId="0" applyBorder="1" applyAlignment="1">
      <alignment horizontal="left" vertical="center" textRotation="255"/>
    </xf>
    <xf numFmtId="0" fontId="0" fillId="0" borderId="21" xfId="0" applyBorder="1" applyAlignment="1">
      <alignment horizontal="left" vertical="center" textRotation="255"/>
    </xf>
    <xf numFmtId="0" fontId="7" fillId="0" borderId="13" xfId="0" applyFont="1" applyBorder="1" applyAlignment="1">
      <alignment horizontal="center" vertical="center" textRotation="255" shrinkToFit="1"/>
    </xf>
    <xf numFmtId="0" fontId="8" fillId="0" borderId="14" xfId="0" applyFont="1" applyBorder="1" applyAlignment="1">
      <alignment horizontal="center" vertical="center" textRotation="255" shrinkToFit="1"/>
    </xf>
    <xf numFmtId="0" fontId="9" fillId="0" borderId="3" xfId="0" applyFont="1" applyBorder="1" applyAlignment="1">
      <alignment vertical="top" textRotation="255" shrinkToFit="1"/>
    </xf>
    <xf numFmtId="0" fontId="10" fillId="0" borderId="3" xfId="0" applyFont="1" applyBorder="1" applyAlignment="1">
      <alignment vertical="top" textRotation="255" shrinkToFit="1"/>
    </xf>
    <xf numFmtId="0" fontId="3" fillId="0" borderId="24" xfId="0" applyFont="1" applyBorder="1" applyAlignment="1">
      <alignment horizontal="right" vertical="center"/>
    </xf>
    <xf numFmtId="0" fontId="0" fillId="0" borderId="25" xfId="0" applyBorder="1">
      <alignment vertical="center"/>
    </xf>
    <xf numFmtId="0" fontId="3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3" fillId="2" borderId="25" xfId="0" applyFont="1" applyFill="1" applyBorder="1" applyAlignment="1" applyProtection="1">
      <alignment vertical="center" shrinkToFit="1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 shrinkToFit="1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4" fillId="0" borderId="0" xfId="0" applyFont="1" applyAlignment="1">
      <alignment vertical="center" wrapText="1" shrinkToFit="1"/>
    </xf>
    <xf numFmtId="0" fontId="5" fillId="0" borderId="0" xfId="0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5" fillId="0" borderId="20" xfId="0" applyFont="1" applyBorder="1">
      <alignment vertical="center"/>
    </xf>
    <xf numFmtId="0" fontId="0" fillId="0" borderId="4" xfId="0" applyBorder="1">
      <alignment vertical="center"/>
    </xf>
    <xf numFmtId="0" fontId="0" fillId="0" borderId="21" xfId="0" applyBorder="1">
      <alignment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0" xfId="0">
      <alignment vertical="center"/>
    </xf>
    <xf numFmtId="0" fontId="2" fillId="0" borderId="5" xfId="0" applyFont="1" applyBorder="1">
      <alignment vertical="center"/>
    </xf>
  </cellXfs>
  <cellStyles count="1">
    <cellStyle name="標準" xfId="0" builtinId="0"/>
  </cellStyles>
  <dxfs count="3">
    <dxf>
      <fill>
        <patternFill>
          <bgColor rgb="FF00B0F0"/>
        </patternFill>
      </fill>
    </dxf>
    <dxf>
      <font>
        <color theme="0" tint="-0.3499862666707357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15"/>
  <sheetViews>
    <sheetView showGridLines="0" showRowColHeaders="0" tabSelected="1" zoomScale="70" zoomScaleNormal="70" workbookViewId="0">
      <selection activeCell="M1" sqref="M1:T1"/>
    </sheetView>
  </sheetViews>
  <sheetFormatPr defaultRowHeight="15" x14ac:dyDescent="0.15"/>
  <cols>
    <col min="1" max="60" width="2.125" style="4" customWidth="1"/>
    <col min="61" max="61" width="8.625" style="4" customWidth="1"/>
    <col min="62" max="16384" width="9" style="4"/>
  </cols>
  <sheetData>
    <row r="1" spans="1:61" ht="30.75" customHeight="1" x14ac:dyDescent="0.15">
      <c r="A1" s="33" t="s">
        <v>69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7" t="s">
        <v>20</v>
      </c>
      <c r="N1" s="37"/>
      <c r="O1" s="38"/>
      <c r="P1" s="38"/>
      <c r="Q1" s="38"/>
      <c r="R1" s="38"/>
      <c r="S1" s="38"/>
      <c r="T1" s="39"/>
      <c r="W1" s="43" t="s">
        <v>63</v>
      </c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</row>
    <row r="2" spans="1:61" ht="30.75" customHeight="1" thickBot="1" x14ac:dyDescent="0.2">
      <c r="A2" s="35" t="s">
        <v>68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40" t="s">
        <v>20</v>
      </c>
      <c r="N2" s="40"/>
      <c r="O2" s="41"/>
      <c r="P2" s="41"/>
      <c r="Q2" s="41"/>
      <c r="R2" s="41"/>
      <c r="S2" s="41"/>
      <c r="T2" s="42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</row>
    <row r="3" spans="1:61" ht="30.75" customHeight="1" x14ac:dyDescent="0.15"/>
    <row r="4" spans="1:61" x14ac:dyDescent="0.15">
      <c r="A4" s="5" t="s">
        <v>15</v>
      </c>
      <c r="B4" s="6"/>
      <c r="C4" s="6"/>
      <c r="D4" s="7"/>
      <c r="E4" s="7"/>
      <c r="F4" s="8"/>
      <c r="G4" s="5" t="s">
        <v>14</v>
      </c>
      <c r="H4" s="6"/>
      <c r="I4" s="6"/>
      <c r="J4" s="7"/>
      <c r="K4" s="7"/>
      <c r="L4" s="8"/>
      <c r="M4" s="5" t="s">
        <v>13</v>
      </c>
      <c r="N4" s="6"/>
      <c r="O4" s="6"/>
      <c r="P4" s="7"/>
      <c r="Q4" s="7"/>
      <c r="R4" s="8"/>
      <c r="S4" s="5" t="s">
        <v>12</v>
      </c>
      <c r="T4" s="6"/>
      <c r="U4" s="6"/>
      <c r="V4" s="7"/>
      <c r="W4" s="7"/>
      <c r="X4" s="8"/>
      <c r="Y4" s="5" t="s">
        <v>11</v>
      </c>
      <c r="Z4" s="6"/>
      <c r="AA4" s="6"/>
      <c r="AB4" s="7"/>
      <c r="AC4" s="7"/>
      <c r="AD4" s="8"/>
      <c r="AE4" s="5" t="s">
        <v>0</v>
      </c>
      <c r="AF4" s="6"/>
      <c r="AG4" s="6"/>
      <c r="AH4" s="7"/>
      <c r="AI4" s="7"/>
      <c r="AJ4" s="8"/>
      <c r="AK4" s="5" t="s">
        <v>1</v>
      </c>
      <c r="AL4" s="6"/>
      <c r="AM4" s="6"/>
      <c r="AN4" s="7"/>
      <c r="AO4" s="7"/>
      <c r="AP4" s="8"/>
      <c r="AQ4" s="5" t="s">
        <v>2</v>
      </c>
      <c r="AR4" s="6"/>
      <c r="AS4" s="6"/>
      <c r="AT4" s="7"/>
      <c r="AU4" s="7"/>
      <c r="AV4" s="8"/>
      <c r="AW4" s="5" t="s">
        <v>3</v>
      </c>
      <c r="AX4" s="6"/>
      <c r="AY4" s="6"/>
      <c r="AZ4" s="7"/>
      <c r="BA4" s="7"/>
      <c r="BB4" s="8"/>
      <c r="BC4" s="5" t="s">
        <v>4</v>
      </c>
      <c r="BD4" s="6"/>
      <c r="BE4" s="6"/>
      <c r="BF4" s="7"/>
      <c r="BG4" s="7"/>
      <c r="BH4" s="8"/>
      <c r="BI4" s="31" t="s">
        <v>67</v>
      </c>
    </row>
    <row r="5" spans="1:61" ht="51" customHeight="1" x14ac:dyDescent="0.15">
      <c r="A5" s="9" t="str">
        <f ca="1">VLOOKUP(10,mondai,2,0)</f>
        <v>情</v>
      </c>
      <c r="B5" s="10"/>
      <c r="C5" s="16" t="str">
        <f ca="1">IF($M2="入れる",VLOOKUP(10,mondai,13,0),"")</f>
        <v>じょう</v>
      </c>
      <c r="D5" s="17"/>
      <c r="E5" s="17"/>
      <c r="F5" s="18"/>
      <c r="G5" s="9" t="str">
        <f ca="1">VLOOKUP(9,mondai,2,0)</f>
        <v>会</v>
      </c>
      <c r="H5" s="10"/>
      <c r="I5" s="16" t="str">
        <f ca="1">IF($M2="入れる",VLOOKUP(9,mondai,13,0),"")</f>
        <v>かい</v>
      </c>
      <c r="J5" s="17"/>
      <c r="K5" s="17"/>
      <c r="L5" s="18"/>
      <c r="M5" s="9" t="str">
        <f ca="1">VLOOKUP(8,mondai,2,0)</f>
        <v>失</v>
      </c>
      <c r="N5" s="10"/>
      <c r="O5" s="16" t="str">
        <f ca="1">IF($M2="入れる",VLOOKUP(8,mondai,13,0),"")</f>
        <v>しっ</v>
      </c>
      <c r="P5" s="17"/>
      <c r="Q5" s="17"/>
      <c r="R5" s="18"/>
      <c r="S5" s="9" t="str">
        <f ca="1">VLOOKUP(7,mondai,2,0)</f>
        <v>判</v>
      </c>
      <c r="T5" s="10"/>
      <c r="U5" s="16" t="str">
        <f ca="1">IF($M2="入れる",VLOOKUP(7,mondai,13,0),"")</f>
        <v>はん</v>
      </c>
      <c r="V5" s="17"/>
      <c r="W5" s="17"/>
      <c r="X5" s="18"/>
      <c r="Y5" s="9" t="str">
        <f ca="1">VLOOKUP(6,mondai,2,0)</f>
        <v>早</v>
      </c>
      <c r="Z5" s="10"/>
      <c r="AA5" s="16" t="str">
        <f ca="1">IF($M2="入れる",VLOOKUP(6,mondai,13,0),"")</f>
        <v>はや</v>
      </c>
      <c r="AB5" s="17"/>
      <c r="AC5" s="17"/>
      <c r="AD5" s="18"/>
      <c r="AE5" s="9" t="str">
        <f ca="1">VLOOKUP(5,mondai,2,0)</f>
        <v>色</v>
      </c>
      <c r="AF5" s="10"/>
      <c r="AG5" s="16" t="str">
        <f ca="1">IF($M2="入れる",VLOOKUP(5,mondai,13,0),"")</f>
        <v>いろ</v>
      </c>
      <c r="AH5" s="17"/>
      <c r="AI5" s="17"/>
      <c r="AJ5" s="18"/>
      <c r="AK5" s="9" t="str">
        <f ca="1">VLOOKUP(4,mondai,2,0)</f>
        <v>新</v>
      </c>
      <c r="AL5" s="10"/>
      <c r="AM5" s="16" t="str">
        <f ca="1">IF($M2="入れる",VLOOKUP(4,mondai,13,0),"")</f>
        <v>しん</v>
      </c>
      <c r="AN5" s="22"/>
      <c r="AO5" s="22"/>
      <c r="AP5" s="23"/>
      <c r="AQ5" s="9" t="str">
        <f ca="1">VLOOKUP(3,mondai,2,0)</f>
        <v>回</v>
      </c>
      <c r="AR5" s="10"/>
      <c r="AS5" s="16" t="str">
        <f ca="1">IF($M2="入れる",VLOOKUP(3,mondai,13,0),"")</f>
        <v>かい</v>
      </c>
      <c r="AT5" s="17"/>
      <c r="AU5" s="17"/>
      <c r="AV5" s="18"/>
      <c r="AW5" s="9" t="str">
        <f ca="1">VLOOKUP(2,mondai,2,0)</f>
        <v>印</v>
      </c>
      <c r="AX5" s="10"/>
      <c r="AY5" s="16" t="str">
        <f ca="1">IF($M2="入れる",VLOOKUP(2,mondai,13,0),"")</f>
        <v>いん</v>
      </c>
      <c r="AZ5" s="17"/>
      <c r="BA5" s="17"/>
      <c r="BB5" s="18"/>
      <c r="BC5" s="9" t="str">
        <f ca="1">VLOOKUP(1,mondai,2,0)</f>
        <v>思</v>
      </c>
      <c r="BD5" s="10"/>
      <c r="BE5" s="19" t="str">
        <f ca="1">IF($M2="入れる",VLOOKUP(1,mondai,13,0),"")</f>
        <v>おも</v>
      </c>
      <c r="BF5" s="20"/>
      <c r="BG5" s="20"/>
      <c r="BH5" s="21"/>
      <c r="BI5" s="32"/>
    </row>
    <row r="6" spans="1:61" ht="51" customHeight="1" x14ac:dyDescent="0.15">
      <c r="A6" s="11" t="str">
        <f ca="1">VLOOKUP(10,mondai,3,0)</f>
        <v>報</v>
      </c>
      <c r="B6" s="12"/>
      <c r="C6" s="19" t="str">
        <f ca="1">IF($M2="入れる",VLOOKUP(10,mondai,14,0),"")</f>
        <v>ほう</v>
      </c>
      <c r="D6" s="20"/>
      <c r="E6" s="20"/>
      <c r="F6" s="21"/>
      <c r="G6" s="11" t="str">
        <f ca="1">VLOOKUP(9,mondai,3,0)</f>
        <v>長</v>
      </c>
      <c r="H6" s="12"/>
      <c r="I6" s="19" t="str">
        <f ca="1">IF($M2="入れる",VLOOKUP(9,mondai,14,0),"")</f>
        <v>ちょう</v>
      </c>
      <c r="J6" s="20"/>
      <c r="K6" s="20"/>
      <c r="L6" s="21"/>
      <c r="M6" s="11" t="str">
        <f ca="1">VLOOKUP(8,mondai,3,0)</f>
        <v>敗</v>
      </c>
      <c r="N6" s="12"/>
      <c r="O6" s="19" t="str">
        <f ca="1">IF($M2="入れる",VLOOKUP(8,mondai,14,0),"")</f>
        <v>ぱい</v>
      </c>
      <c r="P6" s="20"/>
      <c r="Q6" s="20"/>
      <c r="R6" s="21"/>
      <c r="S6" s="11" t="str">
        <f ca="1">VLOOKUP(7,mondai,3,0)</f>
        <v>断</v>
      </c>
      <c r="T6" s="12"/>
      <c r="U6" s="19" t="str">
        <f ca="1">IF($M2="入れる",VLOOKUP(7,mondai,14,0),"")</f>
        <v>だん</v>
      </c>
      <c r="V6" s="20"/>
      <c r="W6" s="20"/>
      <c r="X6" s="21"/>
      <c r="Y6" s="11" t="str">
        <f ca="1">VLOOKUP(6,mondai,3,0)</f>
        <v>起</v>
      </c>
      <c r="Z6" s="12"/>
      <c r="AA6" s="19" t="str">
        <f ca="1">IF($M2="入れる",VLOOKUP(6,mondai,14,0),"")</f>
        <v>お</v>
      </c>
      <c r="AB6" s="20"/>
      <c r="AC6" s="20"/>
      <c r="AD6" s="21"/>
      <c r="AE6" s="11" t="str">
        <f ca="1">VLOOKUP(5,mondai,3,0)</f>
        <v>が</v>
      </c>
      <c r="AF6" s="12"/>
      <c r="AG6" s="19" t="str">
        <f ca="1">IF($M2="入れる",VLOOKUP(5,mondai,14,0),"")</f>
        <v/>
      </c>
      <c r="AH6" s="20"/>
      <c r="AI6" s="20"/>
      <c r="AJ6" s="21"/>
      <c r="AK6" s="11" t="str">
        <f ca="1">VLOOKUP(4,mondai,3,0)</f>
        <v>聞</v>
      </c>
      <c r="AL6" s="12"/>
      <c r="AM6" s="19" t="str">
        <f ca="1">IF($M2="入れる",VLOOKUP(4,mondai,14,0),"")</f>
        <v>ぶん</v>
      </c>
      <c r="AN6" s="24"/>
      <c r="AO6" s="24"/>
      <c r="AP6" s="25"/>
      <c r="AQ6" s="11" t="str">
        <f ca="1">VLOOKUP(3,mondai,3,0)</f>
        <v>数</v>
      </c>
      <c r="AR6" s="12"/>
      <c r="AS6" s="19" t="str">
        <f ca="1">IF($M2="入れる",VLOOKUP(3,mondai,14,0),"")</f>
        <v>すう</v>
      </c>
      <c r="AT6" s="20"/>
      <c r="AU6" s="20"/>
      <c r="AV6" s="21"/>
      <c r="AW6" s="11" t="str">
        <f ca="1">VLOOKUP(2,mondai,3,0)</f>
        <v>象</v>
      </c>
      <c r="AX6" s="12"/>
      <c r="AY6" s="19" t="str">
        <f ca="1">IF($M2="入れる",VLOOKUP(2,mondai,14,0),"")</f>
        <v>しょう</v>
      </c>
      <c r="AZ6" s="20"/>
      <c r="BA6" s="20"/>
      <c r="BB6" s="21"/>
      <c r="BC6" s="11" t="str">
        <f ca="1">VLOOKUP(1,mondai,3,0)</f>
        <v>い</v>
      </c>
      <c r="BD6" s="12"/>
      <c r="BE6" s="19" t="str">
        <f ca="1">IF($M2="入れる",VLOOKUP(1,mondai,14,0),"")</f>
        <v/>
      </c>
      <c r="BF6" s="20"/>
      <c r="BG6" s="20"/>
      <c r="BH6" s="21"/>
      <c r="BI6" s="32"/>
    </row>
    <row r="7" spans="1:61" ht="51" customHeight="1" x14ac:dyDescent="0.15">
      <c r="A7" s="11" t="str">
        <f ca="1">VLOOKUP(10,mondai,4,0)</f>
        <v>を</v>
      </c>
      <c r="B7" s="12"/>
      <c r="C7" s="19" t="str">
        <f ca="1">IF($M2="入れる",VLOOKUP(10,mondai,15,0),"")</f>
        <v/>
      </c>
      <c r="D7" s="20"/>
      <c r="E7" s="20"/>
      <c r="F7" s="21"/>
      <c r="G7" s="11" t="str">
        <f ca="1">VLOOKUP(9,mondai,4,0)</f>
        <v>が</v>
      </c>
      <c r="H7" s="12"/>
      <c r="I7" s="19" t="str">
        <f ca="1">IF($M2="入れる",VLOOKUP(9,mondai,15,0),"")</f>
        <v/>
      </c>
      <c r="J7" s="20"/>
      <c r="K7" s="20"/>
      <c r="L7" s="21"/>
      <c r="M7" s="11" t="str">
        <f ca="1">VLOOKUP(8,mondai,4,0)</f>
        <v>す</v>
      </c>
      <c r="N7" s="12"/>
      <c r="O7" s="19" t="str">
        <f ca="1">IF($M2="入れる",VLOOKUP(8,mondai,15,0),"")</f>
        <v/>
      </c>
      <c r="P7" s="20"/>
      <c r="Q7" s="20"/>
      <c r="R7" s="21"/>
      <c r="S7" s="11" t="str">
        <f ca="1">VLOOKUP(7,mondai,4,0)</f>
        <v>を</v>
      </c>
      <c r="T7" s="12"/>
      <c r="U7" s="19" t="str">
        <f ca="1">IF($M2="入れる",VLOOKUP(7,mondai,15,0),"")</f>
        <v/>
      </c>
      <c r="V7" s="20"/>
      <c r="W7" s="20"/>
      <c r="X7" s="21"/>
      <c r="Y7" s="11" t="str">
        <f ca="1">VLOOKUP(6,mondai,4,0)</f>
        <v>き</v>
      </c>
      <c r="Z7" s="12"/>
      <c r="AA7" s="19" t="str">
        <f ca="1">IF($M2="入れる",VLOOKUP(6,mondai,15,0),"")</f>
        <v/>
      </c>
      <c r="AB7" s="20"/>
      <c r="AC7" s="20"/>
      <c r="AD7" s="21"/>
      <c r="AE7" s="11" t="str">
        <f ca="1">VLOOKUP(5,mondai,4,0)</f>
        <v>混</v>
      </c>
      <c r="AF7" s="12"/>
      <c r="AG7" s="19" t="str">
        <f ca="1">IF($M2="入れる",VLOOKUP(5,mondai,15,0),"")</f>
        <v>ま</v>
      </c>
      <c r="AH7" s="20"/>
      <c r="AI7" s="20"/>
      <c r="AJ7" s="21"/>
      <c r="AK7" s="11" t="str">
        <f ca="1">VLOOKUP(4,mondai,4,0)</f>
        <v>記</v>
      </c>
      <c r="AL7" s="12"/>
      <c r="AM7" s="19" t="str">
        <f ca="1">IF($M2="入れる",VLOOKUP(4,mondai,15,0),"")</f>
        <v>き</v>
      </c>
      <c r="AN7" s="24"/>
      <c r="AO7" s="24"/>
      <c r="AP7" s="25"/>
      <c r="AQ7" s="11" t="str">
        <f ca="1">VLOOKUP(3,mondai,4,0)</f>
        <v>を</v>
      </c>
      <c r="AR7" s="12"/>
      <c r="AS7" s="19" t="str">
        <f ca="1">IF($M2="入れる",VLOOKUP(3,mondai,15,0),"")</f>
        <v/>
      </c>
      <c r="AT7" s="20"/>
      <c r="AU7" s="20"/>
      <c r="AV7" s="21"/>
      <c r="AW7" s="11" t="str">
        <f ca="1">VLOOKUP(2,mondai,4,0)</f>
        <v>が</v>
      </c>
      <c r="AX7" s="12"/>
      <c r="AY7" s="19" t="str">
        <f ca="1">IF($M2="入れる",VLOOKUP(2,mondai,15,0),"")</f>
        <v/>
      </c>
      <c r="AZ7" s="20"/>
      <c r="BA7" s="20"/>
      <c r="BB7" s="21"/>
      <c r="BC7" s="11" t="str">
        <f ca="1">VLOOKUP(1,mondai,4,0)</f>
        <v>こ</v>
      </c>
      <c r="BD7" s="12"/>
      <c r="BE7" s="19" t="str">
        <f ca="1">IF($M2="入れる",VLOOKUP(1,mondai,15,0),"")</f>
        <v/>
      </c>
      <c r="BF7" s="20"/>
      <c r="BG7" s="20"/>
      <c r="BH7" s="21"/>
      <c r="BI7" s="32"/>
    </row>
    <row r="8" spans="1:61" ht="51" customHeight="1" x14ac:dyDescent="0.15">
      <c r="A8" s="11" t="str">
        <f ca="1">VLOOKUP(10,mondai,5,0)</f>
        <v>得</v>
      </c>
      <c r="B8" s="12"/>
      <c r="C8" s="19" t="str">
        <f ca="1">IF($M2="入れる",VLOOKUP(10,mondai,16,0),"")</f>
        <v>え</v>
      </c>
      <c r="D8" s="20"/>
      <c r="E8" s="20"/>
      <c r="F8" s="21"/>
      <c r="G8" s="11" t="str">
        <f ca="1">VLOOKUP(9,mondai,5,0)</f>
        <v>辞</v>
      </c>
      <c r="H8" s="12"/>
      <c r="I8" s="19" t="str">
        <f ca="1">IF($M2="入れる",VLOOKUP(9,mondai,16,0),"")</f>
        <v>じ</v>
      </c>
      <c r="J8" s="20"/>
      <c r="K8" s="20"/>
      <c r="L8" s="21"/>
      <c r="M8" s="11" t="str">
        <f ca="1">VLOOKUP(8,mondai,5,0)</f>
        <v>る</v>
      </c>
      <c r="N8" s="12"/>
      <c r="O8" s="19" t="str">
        <f ca="1">IF($M2="入れる",VLOOKUP(8,mondai,16,0),"")</f>
        <v/>
      </c>
      <c r="P8" s="20"/>
      <c r="Q8" s="20"/>
      <c r="R8" s="21"/>
      <c r="S8" s="11" t="str">
        <f ca="1">VLOOKUP(7,mondai,5,0)</f>
        <v>下</v>
      </c>
      <c r="T8" s="12"/>
      <c r="U8" s="19" t="str">
        <f ca="1">IF($M2="入れる",VLOOKUP(7,mondai,16,0),"")</f>
        <v>くだ</v>
      </c>
      <c r="V8" s="20"/>
      <c r="W8" s="20"/>
      <c r="X8" s="21"/>
      <c r="Y8" s="11" t="str">
        <f ca="1">VLOOKUP(6,mondai,5,0)</f>
        <v>の</v>
      </c>
      <c r="Z8" s="12"/>
      <c r="AA8" s="19" t="str">
        <f ca="1">IF($M2="入れる",VLOOKUP(6,mondai,16,0),"")</f>
        <v/>
      </c>
      <c r="AB8" s="20"/>
      <c r="AC8" s="20"/>
      <c r="AD8" s="21"/>
      <c r="AE8" s="11" t="str">
        <f ca="1">VLOOKUP(5,mondai,5,0)</f>
        <v>じ</v>
      </c>
      <c r="AF8" s="12"/>
      <c r="AG8" s="19" t="str">
        <f ca="1">IF($M2="入れる",VLOOKUP(5,mondai,16,0),"")</f>
        <v/>
      </c>
      <c r="AH8" s="20"/>
      <c r="AI8" s="20"/>
      <c r="AJ8" s="21"/>
      <c r="AK8" s="11" t="str">
        <f ca="1">VLOOKUP(4,mondai,5,0)</f>
        <v>事</v>
      </c>
      <c r="AL8" s="12"/>
      <c r="AM8" s="19" t="str">
        <f ca="1">IF($M2="入れる",VLOOKUP(4,mondai,16,0),"")</f>
        <v>じ</v>
      </c>
      <c r="AN8" s="20"/>
      <c r="AO8" s="20"/>
      <c r="AP8" s="21"/>
      <c r="AQ8" s="11" t="str">
        <f ca="1">VLOOKUP(3,mondai,5,0)</f>
        <v>減</v>
      </c>
      <c r="AR8" s="12"/>
      <c r="AS8" s="19" t="str">
        <f ca="1">IF($M2="入れる",VLOOKUP(3,mondai,16,0),"")</f>
        <v>へ</v>
      </c>
      <c r="AT8" s="20"/>
      <c r="AU8" s="20"/>
      <c r="AV8" s="21"/>
      <c r="AW8" s="11" t="str">
        <f ca="1">VLOOKUP(2,mondai,5,0)</f>
        <v>よ</v>
      </c>
      <c r="AX8" s="12"/>
      <c r="AY8" s="19" t="str">
        <f ca="1">IF($M2="入れる",VLOOKUP(2,mondai,16,0),"")</f>
        <v/>
      </c>
      <c r="AZ8" s="20"/>
      <c r="BA8" s="20"/>
      <c r="BB8" s="21"/>
      <c r="BC8" s="11" t="str">
        <f ca="1">VLOOKUP(1,mondai,5,0)</f>
        <v>み</v>
      </c>
      <c r="BD8" s="12"/>
      <c r="BE8" s="19" t="str">
        <f ca="1">IF($M2="入れる",VLOOKUP(1,mondai,16,0),"")</f>
        <v/>
      </c>
      <c r="BF8" s="20"/>
      <c r="BG8" s="20"/>
      <c r="BH8" s="21"/>
      <c r="BI8" s="32"/>
    </row>
    <row r="9" spans="1:61" ht="51" customHeight="1" x14ac:dyDescent="0.15">
      <c r="A9" s="11" t="str">
        <f ca="1">VLOOKUP(10,mondai,6,0)</f>
        <v>る</v>
      </c>
      <c r="B9" s="12"/>
      <c r="C9" s="19" t="str">
        <f ca="1">IF($M2="入れる",VLOOKUP(10,mondai,17,0),"")</f>
        <v/>
      </c>
      <c r="D9" s="20"/>
      <c r="E9" s="20"/>
      <c r="F9" s="21"/>
      <c r="G9" s="11" t="str">
        <f ca="1">VLOOKUP(9,mondai,6,0)</f>
        <v>任</v>
      </c>
      <c r="H9" s="12"/>
      <c r="I9" s="19" t="str">
        <f ca="1">IF($M2="入れる",VLOOKUP(9,mondai,17,0),"")</f>
        <v>にん</v>
      </c>
      <c r="J9" s="20"/>
      <c r="K9" s="20"/>
      <c r="L9" s="21"/>
      <c r="M9" s="11" t="str">
        <f ca="1">VLOOKUP(8,mondai,6,0)</f>
        <v>可</v>
      </c>
      <c r="N9" s="12"/>
      <c r="O9" s="19" t="str">
        <f ca="1">IF($M2="入れる",VLOOKUP(8,mondai,17,0),"")</f>
        <v>か</v>
      </c>
      <c r="P9" s="20"/>
      <c r="Q9" s="20"/>
      <c r="R9" s="21"/>
      <c r="S9" s="11" t="str">
        <f ca="1">VLOOKUP(7,mondai,6,0)</f>
        <v>す</v>
      </c>
      <c r="T9" s="12"/>
      <c r="U9" s="19" t="str">
        <f ca="1">IF($M2="入れる",VLOOKUP(7,mondai,17,0),"")</f>
        <v/>
      </c>
      <c r="V9" s="20"/>
      <c r="W9" s="20"/>
      <c r="X9" s="21"/>
      <c r="Y9" s="11" t="str">
        <f ca="1">VLOOKUP(6,mondai,6,0)</f>
        <v>習</v>
      </c>
      <c r="Z9" s="12"/>
      <c r="AA9" s="19" t="str">
        <f ca="1">IF($M2="入れる",VLOOKUP(6,mondai,17,0),"")</f>
        <v>しゅう</v>
      </c>
      <c r="AB9" s="20"/>
      <c r="AC9" s="20"/>
      <c r="AD9" s="21"/>
      <c r="AE9" s="11" t="str">
        <f ca="1">VLOOKUP(5,mondai,6,0)</f>
        <v>る</v>
      </c>
      <c r="AF9" s="12"/>
      <c r="AG9" s="19" t="str">
        <f ca="1">IF($M2="入れる",VLOOKUP(5,mondai,17,0),"")</f>
        <v/>
      </c>
      <c r="AH9" s="20"/>
      <c r="AI9" s="20"/>
      <c r="AJ9" s="21"/>
      <c r="AK9" s="11" t="str">
        <f ca="1">VLOOKUP(4,mondai,6,0)</f>
        <v>の</v>
      </c>
      <c r="AL9" s="12"/>
      <c r="AM9" s="19" t="str">
        <f ca="1">IF($M2="入れる",VLOOKUP(4,mondai,17,0),"")</f>
        <v/>
      </c>
      <c r="AN9" s="20"/>
      <c r="AO9" s="20"/>
      <c r="AP9" s="21"/>
      <c r="AQ9" s="11" t="str">
        <f ca="1">VLOOKUP(3,mondai,6,0)</f>
        <v>ら</v>
      </c>
      <c r="AR9" s="12"/>
      <c r="AS9" s="19" t="str">
        <f ca="1">IF($M2="入れる",VLOOKUP(3,mondai,17,0),"")</f>
        <v/>
      </c>
      <c r="AT9" s="20"/>
      <c r="AU9" s="20"/>
      <c r="AV9" s="21"/>
      <c r="AW9" s="11" t="str">
        <f ca="1">VLOOKUP(2,mondai,6,0)</f>
        <v>い</v>
      </c>
      <c r="AX9" s="12"/>
      <c r="AY9" s="19" t="str">
        <f ca="1">IF($M2="入れる",VLOOKUP(2,mondai,17,0),"")</f>
        <v/>
      </c>
      <c r="AZ9" s="20"/>
      <c r="BA9" s="20"/>
      <c r="BB9" s="21"/>
      <c r="BC9" s="11" t="str">
        <f ca="1">VLOOKUP(1,mondai,6,0)</f>
        <v>や</v>
      </c>
      <c r="BD9" s="12"/>
      <c r="BE9" s="19" t="str">
        <f ca="1">IF($M2="入れる",VLOOKUP(1,mondai,17,0),"")</f>
        <v/>
      </c>
      <c r="BF9" s="20"/>
      <c r="BG9" s="20"/>
      <c r="BH9" s="21"/>
      <c r="BI9" s="32"/>
    </row>
    <row r="10" spans="1:61" ht="51" customHeight="1" x14ac:dyDescent="0.15">
      <c r="A10" s="11" t="str">
        <f ca="1">VLOOKUP(10,mondai,7,0)</f>
        <v/>
      </c>
      <c r="B10" s="12"/>
      <c r="C10" s="19" t="str">
        <f ca="1">IF($M2="入れる",VLOOKUP(10,mondai,18,0),"")</f>
        <v/>
      </c>
      <c r="D10" s="20"/>
      <c r="E10" s="20"/>
      <c r="F10" s="21"/>
      <c r="G10" s="11" t="str">
        <f ca="1">VLOOKUP(9,mondai,7,0)</f>
        <v>す</v>
      </c>
      <c r="H10" s="12"/>
      <c r="I10" s="19" t="str">
        <f ca="1">IF($M2="入れる",VLOOKUP(9,mondai,18,0),"")</f>
        <v/>
      </c>
      <c r="J10" s="20"/>
      <c r="K10" s="20"/>
      <c r="L10" s="21"/>
      <c r="M10" s="11" t="str">
        <f ca="1">VLOOKUP(8,mondai,7,0)</f>
        <v>能</v>
      </c>
      <c r="N10" s="12"/>
      <c r="O10" s="19" t="str">
        <f ca="1">IF($M2="入れる",VLOOKUP(8,mondai,18,0),"")</f>
        <v>のう</v>
      </c>
      <c r="P10" s="20"/>
      <c r="Q10" s="20"/>
      <c r="R10" s="21"/>
      <c r="S10" s="11" t="str">
        <f ca="1">VLOOKUP(7,mondai,7,0)</f>
        <v/>
      </c>
      <c r="T10" s="12"/>
      <c r="U10" s="19" t="str">
        <f ca="1">IF($M2="入れる",VLOOKUP(7,mondai,18,0),"")</f>
        <v/>
      </c>
      <c r="V10" s="20"/>
      <c r="W10" s="20"/>
      <c r="X10" s="21"/>
      <c r="Y10" s="11" t="str">
        <f ca="1">VLOOKUP(6,mondai,7,0)</f>
        <v>慣</v>
      </c>
      <c r="Z10" s="12"/>
      <c r="AA10" s="19" t="str">
        <f ca="1">IF($M2="入れる",VLOOKUP(6,mondai,18,0),"")</f>
        <v>かん</v>
      </c>
      <c r="AB10" s="20"/>
      <c r="AC10" s="20"/>
      <c r="AD10" s="21"/>
      <c r="AE10" s="11" t="str">
        <f ca="1">VLOOKUP(5,mondai,7,0)</f>
        <v/>
      </c>
      <c r="AF10" s="12"/>
      <c r="AG10" s="19" t="str">
        <f ca="1">IF($M2="入れる",VLOOKUP(5,mondai,18,0),"")</f>
        <v/>
      </c>
      <c r="AH10" s="20"/>
      <c r="AI10" s="20"/>
      <c r="AJ10" s="21"/>
      <c r="AK10" s="11" t="str">
        <f ca="1">VLOOKUP(4,mondai,7,0)</f>
        <v>内</v>
      </c>
      <c r="AL10" s="12"/>
      <c r="AM10" s="19" t="str">
        <f ca="1">IF($M2="入れる",VLOOKUP(4,mondai,18,0),"")</f>
        <v>ない</v>
      </c>
      <c r="AN10" s="20"/>
      <c r="AO10" s="20"/>
      <c r="AP10" s="21"/>
      <c r="AQ10" s="11" t="str">
        <f ca="1">VLOOKUP(3,mondai,7,0)</f>
        <v>す</v>
      </c>
      <c r="AR10" s="12"/>
      <c r="AS10" s="19" t="str">
        <f ca="1">IF($M2="入れる",VLOOKUP(3,mondai,18,0),"")</f>
        <v/>
      </c>
      <c r="AT10" s="20"/>
      <c r="AU10" s="20"/>
      <c r="AV10" s="21"/>
      <c r="AW10" s="11" t="str">
        <f ca="1">VLOOKUP(2,mondai,7,0)</f>
        <v/>
      </c>
      <c r="AX10" s="12"/>
      <c r="AY10" s="19" t="str">
        <f ca="1">IF($M2="入れる",VLOOKUP(2,mondai,18,0),"")</f>
        <v/>
      </c>
      <c r="AZ10" s="20"/>
      <c r="BA10" s="20"/>
      <c r="BB10" s="21"/>
      <c r="BC10" s="11" t="str">
        <f ca="1">VLOOKUP(1,mondai,7,0)</f>
        <v>す</v>
      </c>
      <c r="BD10" s="12"/>
      <c r="BE10" s="19" t="str">
        <f ca="1">IF($M2="入れる",VLOOKUP(1,mondai,18,0),"")</f>
        <v/>
      </c>
      <c r="BF10" s="20"/>
      <c r="BG10" s="20"/>
      <c r="BH10" s="21"/>
      <c r="BI10" s="13" t="s">
        <v>5</v>
      </c>
    </row>
    <row r="11" spans="1:61" ht="51" customHeight="1" x14ac:dyDescent="0.15">
      <c r="A11" s="11" t="str">
        <f ca="1">VLOOKUP(10,mondai,8,0)</f>
        <v/>
      </c>
      <c r="B11" s="12"/>
      <c r="C11" s="19" t="str">
        <f ca="1">IF($M2="入れる",VLOOKUP(10,mondai,19,0),"")</f>
        <v/>
      </c>
      <c r="D11" s="20"/>
      <c r="E11" s="20"/>
      <c r="F11" s="21"/>
      <c r="G11" s="11" t="str">
        <f ca="1">VLOOKUP(9,mondai,8,0)</f>
        <v>る</v>
      </c>
      <c r="H11" s="12"/>
      <c r="I11" s="19" t="str">
        <f ca="1">IF($M2="入れる",VLOOKUP(9,mondai,19,0),"")</f>
        <v/>
      </c>
      <c r="J11" s="20"/>
      <c r="K11" s="20"/>
      <c r="L11" s="21"/>
      <c r="M11" s="11" t="str">
        <f ca="1">VLOOKUP(8,mondai,8,0)</f>
        <v>性</v>
      </c>
      <c r="N11" s="12"/>
      <c r="O11" s="19" t="str">
        <f ca="1">IF($M2="入れる",VLOOKUP(8,mondai,19,0),"")</f>
        <v>せい</v>
      </c>
      <c r="P11" s="20"/>
      <c r="Q11" s="20"/>
      <c r="R11" s="21"/>
      <c r="S11" s="11" t="str">
        <f ca="1">VLOOKUP(7,mondai,8,0)</f>
        <v/>
      </c>
      <c r="T11" s="12"/>
      <c r="U11" s="19" t="str">
        <f ca="1">IF($M2="入れる",VLOOKUP(7,mondai,19,0),"")</f>
        <v/>
      </c>
      <c r="V11" s="20"/>
      <c r="W11" s="20"/>
      <c r="X11" s="21"/>
      <c r="Y11" s="11" t="str">
        <f ca="1">VLOOKUP(6,mondai,8,0)</f>
        <v/>
      </c>
      <c r="Z11" s="12"/>
      <c r="AA11" s="19" t="str">
        <f ca="1">IF($M2="入れる",VLOOKUP(6,mondai,19,0),"")</f>
        <v/>
      </c>
      <c r="AB11" s="20"/>
      <c r="AC11" s="20"/>
      <c r="AD11" s="21"/>
      <c r="AE11" s="11" t="str">
        <f ca="1">VLOOKUP(5,mondai,8,0)</f>
        <v/>
      </c>
      <c r="AF11" s="12"/>
      <c r="AG11" s="19" t="str">
        <f ca="1">IF($M2="入れる",VLOOKUP(5,mondai,19,0),"")</f>
        <v/>
      </c>
      <c r="AH11" s="20"/>
      <c r="AI11" s="20"/>
      <c r="AJ11" s="21"/>
      <c r="AK11" s="11" t="str">
        <f ca="1">VLOOKUP(4,mondai,8,0)</f>
        <v>容</v>
      </c>
      <c r="AL11" s="12"/>
      <c r="AM11" s="19" t="str">
        <f ca="1">IF($M2="入れる",VLOOKUP(4,mondai,19,0),"")</f>
        <v>よう</v>
      </c>
      <c r="AN11" s="20"/>
      <c r="AO11" s="20"/>
      <c r="AP11" s="21"/>
      <c r="AQ11" s="11" t="str">
        <f ca="1">VLOOKUP(3,mondai,8,0)</f>
        <v/>
      </c>
      <c r="AR11" s="12"/>
      <c r="AS11" s="19" t="str">
        <f ca="1">IF($M2="入れる",VLOOKUP(3,mondai,19,0),"")</f>
        <v/>
      </c>
      <c r="AT11" s="20"/>
      <c r="AU11" s="20"/>
      <c r="AV11" s="21"/>
      <c r="AW11" s="11" t="str">
        <f ca="1">VLOOKUP(2,mondai,8,0)</f>
        <v/>
      </c>
      <c r="AX11" s="12"/>
      <c r="AY11" s="19" t="str">
        <f ca="1">IF($M2="入れる",VLOOKUP(2,mondai,19,0),"")</f>
        <v/>
      </c>
      <c r="AZ11" s="20"/>
      <c r="BA11" s="20"/>
      <c r="BB11" s="21"/>
      <c r="BC11" s="11" t="str">
        <f ca="1">VLOOKUP(1,mondai,8,0)</f>
        <v>い</v>
      </c>
      <c r="BD11" s="12"/>
      <c r="BE11" s="19" t="str">
        <f ca="1">IF($M2="入れる",VLOOKUP(1,mondai,19,0),"")</f>
        <v/>
      </c>
      <c r="BF11" s="20"/>
      <c r="BG11" s="20"/>
      <c r="BH11" s="21"/>
      <c r="BI11" s="13"/>
    </row>
    <row r="12" spans="1:61" ht="51" customHeight="1" x14ac:dyDescent="0.15">
      <c r="A12" s="11" t="str">
        <f ca="1">VLOOKUP(10,mondai,9,0)</f>
        <v/>
      </c>
      <c r="B12" s="12"/>
      <c r="C12" s="19" t="str">
        <f ca="1">IF($M2="入れる",VLOOKUP(10,mondai,20,0),"")</f>
        <v/>
      </c>
      <c r="D12" s="20"/>
      <c r="E12" s="20"/>
      <c r="F12" s="21"/>
      <c r="G12" s="11" t="str">
        <f ca="1">VLOOKUP(9,mondai,9,0)</f>
        <v/>
      </c>
      <c r="H12" s="12"/>
      <c r="I12" s="19" t="str">
        <f ca="1">IF($M2="入れる",VLOOKUP(9,mondai,20,0),"")</f>
        <v/>
      </c>
      <c r="J12" s="20"/>
      <c r="K12" s="20"/>
      <c r="L12" s="21"/>
      <c r="M12" s="11" t="str">
        <f ca="1">VLOOKUP(8,mondai,9,0)</f>
        <v/>
      </c>
      <c r="N12" s="12"/>
      <c r="O12" s="19" t="str">
        <f ca="1">IF($M2="入れる",VLOOKUP(8,mondai,20,0),"")</f>
        <v/>
      </c>
      <c r="P12" s="20"/>
      <c r="Q12" s="20"/>
      <c r="R12" s="21"/>
      <c r="S12" s="11" t="str">
        <f ca="1">VLOOKUP(7,mondai,9,0)</f>
        <v/>
      </c>
      <c r="T12" s="12"/>
      <c r="U12" s="19" t="str">
        <f ca="1">IF($M2="入れる",VLOOKUP(7,mondai,20,0),"")</f>
        <v/>
      </c>
      <c r="V12" s="20"/>
      <c r="W12" s="20"/>
      <c r="X12" s="21"/>
      <c r="Y12" s="11" t="str">
        <f ca="1">VLOOKUP(6,mondai,9,0)</f>
        <v/>
      </c>
      <c r="Z12" s="12"/>
      <c r="AA12" s="19" t="str">
        <f ca="1">IF($M2="入れる",VLOOKUP(6,mondai,20,0),"")</f>
        <v/>
      </c>
      <c r="AB12" s="20"/>
      <c r="AC12" s="20"/>
      <c r="AD12" s="21"/>
      <c r="AE12" s="11" t="str">
        <f ca="1">VLOOKUP(5,mondai,9,0)</f>
        <v/>
      </c>
      <c r="AF12" s="12"/>
      <c r="AG12" s="19" t="str">
        <f ca="1">IF($M2="入れる",VLOOKUP(5,mondai,20,0),"")</f>
        <v/>
      </c>
      <c r="AH12" s="20"/>
      <c r="AI12" s="20"/>
      <c r="AJ12" s="21"/>
      <c r="AK12" s="11" t="str">
        <f ca="1">VLOOKUP(4,mondai,9,0)</f>
        <v>を</v>
      </c>
      <c r="AL12" s="12"/>
      <c r="AM12" s="19" t="str">
        <f ca="1">IF($M2="入れる",VLOOKUP(4,mondai,20,0),"")</f>
        <v/>
      </c>
      <c r="AN12" s="20"/>
      <c r="AO12" s="20"/>
      <c r="AP12" s="21"/>
      <c r="AQ12" s="11" t="str">
        <f ca="1">VLOOKUP(3,mondai,9,0)</f>
        <v/>
      </c>
      <c r="AR12" s="12"/>
      <c r="AS12" s="19" t="str">
        <f ca="1">IF($M2="入れる",VLOOKUP(3,mondai,20,0),"")</f>
        <v/>
      </c>
      <c r="AT12" s="20"/>
      <c r="AU12" s="20"/>
      <c r="AV12" s="21"/>
      <c r="AW12" s="11" t="str">
        <f ca="1">VLOOKUP(2,mondai,9,0)</f>
        <v/>
      </c>
      <c r="AX12" s="12"/>
      <c r="AY12" s="19" t="str">
        <f ca="1">IF($M2="入れる",VLOOKUP(2,mondai,20,0),"")</f>
        <v/>
      </c>
      <c r="AZ12" s="20"/>
      <c r="BA12" s="20"/>
      <c r="BB12" s="21"/>
      <c r="BC12" s="11" t="str">
        <f ca="1">VLOOKUP(1,mondai,9,0)</f>
        <v>そ</v>
      </c>
      <c r="BD12" s="12"/>
      <c r="BE12" s="19" t="str">
        <f ca="1">IF($M2="入れる",VLOOKUP(1,mondai,20,0),"")</f>
        <v/>
      </c>
      <c r="BF12" s="20"/>
      <c r="BG12" s="20"/>
      <c r="BH12" s="21"/>
      <c r="BI12" s="13"/>
    </row>
    <row r="13" spans="1:61" ht="51" customHeight="1" x14ac:dyDescent="0.15">
      <c r="A13" s="11" t="str">
        <f ca="1">VLOOKUP(10,mondai,10,0)</f>
        <v/>
      </c>
      <c r="B13" s="12"/>
      <c r="C13" s="19" t="str">
        <f ca="1">IF($M2="入れる",VLOOKUP(10,mondai,21,0),"")</f>
        <v/>
      </c>
      <c r="D13" s="20"/>
      <c r="E13" s="20"/>
      <c r="F13" s="21"/>
      <c r="G13" s="11" t="str">
        <f ca="1">VLOOKUP(9,mondai,10,0)</f>
        <v/>
      </c>
      <c r="H13" s="12"/>
      <c r="I13" s="19" t="str">
        <f ca="1">IF($M2="入れる",VLOOKUP(9,mondai,21,0),"")</f>
        <v/>
      </c>
      <c r="J13" s="20"/>
      <c r="K13" s="20"/>
      <c r="L13" s="21"/>
      <c r="M13" s="11" t="str">
        <f ca="1">VLOOKUP(8,mondai,10,0)</f>
        <v/>
      </c>
      <c r="N13" s="12"/>
      <c r="O13" s="19" t="str">
        <f ca="1">IF($M2="入れる",VLOOKUP(8,mondai,21,0),"")</f>
        <v/>
      </c>
      <c r="P13" s="20"/>
      <c r="Q13" s="20"/>
      <c r="R13" s="21"/>
      <c r="S13" s="11" t="str">
        <f ca="1">VLOOKUP(7,mondai,10,0)</f>
        <v/>
      </c>
      <c r="T13" s="12"/>
      <c r="U13" s="19" t="str">
        <f ca="1">IF($M2="入れる",VLOOKUP(7,mondai,21,0),"")</f>
        <v/>
      </c>
      <c r="V13" s="20"/>
      <c r="W13" s="20"/>
      <c r="X13" s="21"/>
      <c r="Y13" s="11" t="str">
        <f ca="1">VLOOKUP(6,mondai,10,0)</f>
        <v/>
      </c>
      <c r="Z13" s="12"/>
      <c r="AA13" s="19" t="str">
        <f ca="1">IF($M2="入れる",VLOOKUP(6,mondai,21,0),"")</f>
        <v/>
      </c>
      <c r="AB13" s="20"/>
      <c r="AC13" s="20"/>
      <c r="AD13" s="21"/>
      <c r="AE13" s="11" t="str">
        <f ca="1">VLOOKUP(5,mondai,10,0)</f>
        <v/>
      </c>
      <c r="AF13" s="12"/>
      <c r="AG13" s="19" t="str">
        <f ca="1">IF($M2="入れる",VLOOKUP(5,mondai,21,0),"")</f>
        <v/>
      </c>
      <c r="AH13" s="20"/>
      <c r="AI13" s="20"/>
      <c r="AJ13" s="21"/>
      <c r="AK13" s="11" t="str">
        <f ca="1">VLOOKUP(4,mondai,10,0)</f>
        <v>吟</v>
      </c>
      <c r="AL13" s="12"/>
      <c r="AM13" s="19" t="str">
        <f ca="1">IF($M2="入れる",VLOOKUP(4,mondai,21,0),"")</f>
        <v>ぎん</v>
      </c>
      <c r="AN13" s="20"/>
      <c r="AO13" s="20"/>
      <c r="AP13" s="21"/>
      <c r="AQ13" s="11" t="str">
        <f ca="1">VLOOKUP(3,mondai,10,0)</f>
        <v/>
      </c>
      <c r="AR13" s="12"/>
      <c r="AS13" s="19" t="str">
        <f ca="1">IF($M2="入れる",VLOOKUP(3,mondai,21,0),"")</f>
        <v/>
      </c>
      <c r="AT13" s="20"/>
      <c r="AU13" s="20"/>
      <c r="AV13" s="21"/>
      <c r="AW13" s="11" t="str">
        <f ca="1">VLOOKUP(2,mondai,10,0)</f>
        <v/>
      </c>
      <c r="AX13" s="12"/>
      <c r="AY13" s="19" t="str">
        <f ca="1">IF($M2="入れる",VLOOKUP(2,mondai,21,0),"")</f>
        <v/>
      </c>
      <c r="AZ13" s="20"/>
      <c r="BA13" s="20"/>
      <c r="BB13" s="21"/>
      <c r="BC13" s="11" t="str">
        <f ca="1">VLOOKUP(1,mondai,10,0)</f>
        <v>く</v>
      </c>
      <c r="BD13" s="12"/>
      <c r="BE13" s="19" t="str">
        <f ca="1">IF($M2="入れる",VLOOKUP(1,mondai,21,0),"")</f>
        <v/>
      </c>
      <c r="BF13" s="20"/>
      <c r="BG13" s="20"/>
      <c r="BH13" s="21"/>
      <c r="BI13" s="13"/>
    </row>
    <row r="14" spans="1:61" ht="51" customHeight="1" x14ac:dyDescent="0.15">
      <c r="A14" s="14" t="str">
        <f ca="1">VLOOKUP(10,mondai,11,0)</f>
        <v/>
      </c>
      <c r="B14" s="15"/>
      <c r="C14" s="19" t="str">
        <f ca="1">IF($M2="入れる",VLOOKUP(10,mondai,22,0),"")</f>
        <v/>
      </c>
      <c r="D14" s="20"/>
      <c r="E14" s="20"/>
      <c r="F14" s="21"/>
      <c r="G14" s="14" t="str">
        <f ca="1">VLOOKUP(9,mondai,11,0)</f>
        <v/>
      </c>
      <c r="H14" s="15"/>
      <c r="I14" s="19" t="str">
        <f ca="1">IF($M2="入れる",VLOOKUP(9,mondai,22,0),"")</f>
        <v/>
      </c>
      <c r="J14" s="20"/>
      <c r="K14" s="20"/>
      <c r="L14" s="21"/>
      <c r="M14" s="14" t="str">
        <f ca="1">VLOOKUP(8,mondai,11,0)</f>
        <v/>
      </c>
      <c r="N14" s="15"/>
      <c r="O14" s="19" t="str">
        <f ca="1">IF($M2="入れる",VLOOKUP(8,mondai,22,0),"")</f>
        <v/>
      </c>
      <c r="P14" s="20"/>
      <c r="Q14" s="20"/>
      <c r="R14" s="21"/>
      <c r="S14" s="14" t="str">
        <f ca="1">VLOOKUP(7,mondai,11,0)</f>
        <v/>
      </c>
      <c r="T14" s="15"/>
      <c r="U14" s="19" t="str">
        <f ca="1">IF($M2="入れる",VLOOKUP(7,mondai,22,0),"")</f>
        <v/>
      </c>
      <c r="V14" s="20"/>
      <c r="W14" s="20"/>
      <c r="X14" s="21"/>
      <c r="Y14" s="14" t="str">
        <f ca="1">VLOOKUP(6,mondai,11,0)</f>
        <v/>
      </c>
      <c r="Z14" s="15"/>
      <c r="AA14" s="19" t="str">
        <f ca="1">IF($M2="入れる",VLOOKUP(6,mondai,22,0),"")</f>
        <v/>
      </c>
      <c r="AB14" s="20"/>
      <c r="AC14" s="20"/>
      <c r="AD14" s="21"/>
      <c r="AE14" s="14" t="str">
        <f ca="1">VLOOKUP(5,mondai,11,0)</f>
        <v/>
      </c>
      <c r="AF14" s="15"/>
      <c r="AG14" s="19" t="str">
        <f ca="1">IF($M2="入れる",VLOOKUP(5,mondai,22,0),"")</f>
        <v/>
      </c>
      <c r="AH14" s="20"/>
      <c r="AI14" s="20"/>
      <c r="AJ14" s="21"/>
      <c r="AK14" s="14" t="str">
        <f ca="1">VLOOKUP(4,mondai,11,0)</f>
        <v>味</v>
      </c>
      <c r="AL14" s="15"/>
      <c r="AM14" s="19" t="str">
        <f ca="1">IF($M2="入れる",VLOOKUP(4,mondai,22,0),"")</f>
        <v>み</v>
      </c>
      <c r="AN14" s="20"/>
      <c r="AO14" s="20"/>
      <c r="AP14" s="21"/>
      <c r="AQ14" s="14" t="str">
        <f ca="1">VLOOKUP(3,mondai,11,0)</f>
        <v/>
      </c>
      <c r="AR14" s="15"/>
      <c r="AS14" s="19" t="str">
        <f ca="1">IF($M2="入れる",VLOOKUP(3,mondai,22,0),"")</f>
        <v/>
      </c>
      <c r="AT14" s="20"/>
      <c r="AU14" s="20"/>
      <c r="AV14" s="21"/>
      <c r="AW14" s="14" t="str">
        <f ca="1">VLOOKUP(2,mondai,11,0)</f>
        <v/>
      </c>
      <c r="AX14" s="15"/>
      <c r="AY14" s="19" t="str">
        <f ca="1">IF($M2="入れる",VLOOKUP(2,mondai,22,0),"")</f>
        <v/>
      </c>
      <c r="AZ14" s="20"/>
      <c r="BA14" s="20"/>
      <c r="BB14" s="21"/>
      <c r="BC14" s="14" t="str">
        <f ca="1">VLOOKUP(1,mondai,11,0)</f>
        <v/>
      </c>
      <c r="BD14" s="15"/>
      <c r="BE14" s="19" t="str">
        <f ca="1">IF($M2="入れる",VLOOKUP(1,mondai,22,0),"")</f>
        <v/>
      </c>
      <c r="BF14" s="20"/>
      <c r="BG14" s="20"/>
      <c r="BH14" s="21"/>
      <c r="BI14" s="13"/>
    </row>
    <row r="15" spans="1:61" ht="51" customHeight="1" x14ac:dyDescent="0.15">
      <c r="A15" s="29" t="str">
        <f ca="1">VLOOKUP(10,mondai,12,0)</f>
        <v/>
      </c>
      <c r="B15" s="30"/>
      <c r="C15" s="26" t="str">
        <f ca="1">IF($M2="入れる",VLOOKUP(10,mondai,23,0),"")</f>
        <v/>
      </c>
      <c r="D15" s="27"/>
      <c r="E15" s="27"/>
      <c r="F15" s="28"/>
      <c r="G15" s="29" t="str">
        <f ca="1">VLOOKUP(9,mondai,12,0)</f>
        <v/>
      </c>
      <c r="H15" s="30"/>
      <c r="I15" s="26" t="str">
        <f ca="1">IF($M2="入れる",VLOOKUP(9,mondai,23,0),"")</f>
        <v/>
      </c>
      <c r="J15" s="27"/>
      <c r="K15" s="27"/>
      <c r="L15" s="28"/>
      <c r="M15" s="29" t="str">
        <f ca="1">VLOOKUP(8,mondai,12,0)</f>
        <v/>
      </c>
      <c r="N15" s="30"/>
      <c r="O15" s="26" t="str">
        <f ca="1">IF($M2="入れる",VLOOKUP(8,mondai,23,0),"")</f>
        <v/>
      </c>
      <c r="P15" s="27"/>
      <c r="Q15" s="27"/>
      <c r="R15" s="28"/>
      <c r="S15" s="29" t="str">
        <f ca="1">VLOOKUP(7,mondai,12,0)</f>
        <v/>
      </c>
      <c r="T15" s="30"/>
      <c r="U15" s="26" t="str">
        <f ca="1">IF($M2="入れる",VLOOKUP(7,mondai,23,0),"")</f>
        <v/>
      </c>
      <c r="V15" s="27"/>
      <c r="W15" s="27"/>
      <c r="X15" s="28"/>
      <c r="Y15" s="29" t="str">
        <f ca="1">VLOOKUP(6,mondai,12,0)</f>
        <v/>
      </c>
      <c r="Z15" s="30"/>
      <c r="AA15" s="26" t="str">
        <f ca="1">IF($M2="入れる",VLOOKUP(6,mondai,23,0),"")</f>
        <v/>
      </c>
      <c r="AB15" s="27"/>
      <c r="AC15" s="27"/>
      <c r="AD15" s="28"/>
      <c r="AE15" s="29" t="str">
        <f ca="1">VLOOKUP(5,mondai,12,0)</f>
        <v/>
      </c>
      <c r="AF15" s="30"/>
      <c r="AG15" s="26" t="str">
        <f ca="1">IF($M2="入れる",VLOOKUP(5,mondai,23,0),"")</f>
        <v/>
      </c>
      <c r="AH15" s="27"/>
      <c r="AI15" s="27"/>
      <c r="AJ15" s="28"/>
      <c r="AK15" s="29" t="str">
        <f ca="1">VLOOKUP(4,mondai,12,0)</f>
        <v>す</v>
      </c>
      <c r="AL15" s="30"/>
      <c r="AM15" s="26" t="str">
        <f ca="1">IF($M2="入れる",VLOOKUP(4,mondai,23,0),"")</f>
        <v/>
      </c>
      <c r="AN15" s="27"/>
      <c r="AO15" s="27"/>
      <c r="AP15" s="28"/>
      <c r="AQ15" s="29" t="str">
        <f ca="1">VLOOKUP(3,mondai,12,0)</f>
        <v/>
      </c>
      <c r="AR15" s="30"/>
      <c r="AS15" s="26" t="str">
        <f ca="1">IF($M2="入れる",VLOOKUP(3,mondai,23,0),"")</f>
        <v/>
      </c>
      <c r="AT15" s="27"/>
      <c r="AU15" s="27"/>
      <c r="AV15" s="28"/>
      <c r="AW15" s="29" t="str">
        <f ca="1">VLOOKUP(2,mondai,12,0)</f>
        <v/>
      </c>
      <c r="AX15" s="30"/>
      <c r="AY15" s="26" t="str">
        <f ca="1">IF($M2="入れる",VLOOKUP(2,mondai,23,0),"")</f>
        <v/>
      </c>
      <c r="AZ15" s="27"/>
      <c r="BA15" s="27"/>
      <c r="BB15" s="28"/>
      <c r="BC15" s="29" t="str">
        <f ca="1">VLOOKUP(1,mondai,12,0)</f>
        <v/>
      </c>
      <c r="BD15" s="30"/>
      <c r="BE15" s="46" t="str">
        <f ca="1">IF($M2="入れる",VLOOKUP(1,mondai,23,0),"")</f>
        <v/>
      </c>
      <c r="BF15" s="47"/>
      <c r="BG15" s="47"/>
      <c r="BH15" s="48"/>
      <c r="BI15" s="13"/>
    </row>
  </sheetData>
  <sheetProtection sheet="1" objects="1" scenarios="1" selectLockedCells="1"/>
  <mergeCells count="237">
    <mergeCell ref="BI4:BI9"/>
    <mergeCell ref="A1:L1"/>
    <mergeCell ref="A2:L2"/>
    <mergeCell ref="M1:T1"/>
    <mergeCell ref="M2:T2"/>
    <mergeCell ref="W1:BH2"/>
    <mergeCell ref="AY15:BB15"/>
    <mergeCell ref="BC15:BD15"/>
    <mergeCell ref="BE14:BH14"/>
    <mergeCell ref="BE15:BH15"/>
    <mergeCell ref="AK15:AL15"/>
    <mergeCell ref="AM15:AP15"/>
    <mergeCell ref="AQ15:AR15"/>
    <mergeCell ref="AS15:AV15"/>
    <mergeCell ref="AW15:AX15"/>
    <mergeCell ref="BC14:BD14"/>
    <mergeCell ref="BE13:BH13"/>
    <mergeCell ref="AE4:AJ4"/>
    <mergeCell ref="AK4:AP4"/>
    <mergeCell ref="A15:B15"/>
    <mergeCell ref="C15:F15"/>
    <mergeCell ref="G15:H15"/>
    <mergeCell ref="I15:L15"/>
    <mergeCell ref="M15:N15"/>
    <mergeCell ref="O15:R15"/>
    <mergeCell ref="S15:T15"/>
    <mergeCell ref="U15:X15"/>
    <mergeCell ref="Y15:Z15"/>
    <mergeCell ref="AA15:AD15"/>
    <mergeCell ref="AE15:AF15"/>
    <mergeCell ref="AG15:AJ15"/>
    <mergeCell ref="BE10:BH10"/>
    <mergeCell ref="BC12:BD12"/>
    <mergeCell ref="BE11:BH11"/>
    <mergeCell ref="BC13:BD13"/>
    <mergeCell ref="BE12:BH12"/>
    <mergeCell ref="AW14:AX14"/>
    <mergeCell ref="AY14:BB14"/>
    <mergeCell ref="BC10:BD10"/>
    <mergeCell ref="BC11:BD11"/>
    <mergeCell ref="AY11:BB11"/>
    <mergeCell ref="AW12:AX12"/>
    <mergeCell ref="AY12:BB12"/>
    <mergeCell ref="AW13:AX13"/>
    <mergeCell ref="AY13:BB13"/>
    <mergeCell ref="AQ14:AR14"/>
    <mergeCell ref="AS14:AV14"/>
    <mergeCell ref="AQ13:AR13"/>
    <mergeCell ref="BC4:BH4"/>
    <mergeCell ref="BC5:BD5"/>
    <mergeCell ref="BC6:BD6"/>
    <mergeCell ref="BE5:BH5"/>
    <mergeCell ref="BC7:BD7"/>
    <mergeCell ref="BE6:BH6"/>
    <mergeCell ref="BC8:BD8"/>
    <mergeCell ref="BE7:BH7"/>
    <mergeCell ref="BC9:BD9"/>
    <mergeCell ref="BE8:BH8"/>
    <mergeCell ref="BE9:BH9"/>
    <mergeCell ref="AW4:BB4"/>
    <mergeCell ref="AW5:AX5"/>
    <mergeCell ref="AY5:BB5"/>
    <mergeCell ref="AW6:AX6"/>
    <mergeCell ref="AY6:BB6"/>
    <mergeCell ref="AW7:AX7"/>
    <mergeCell ref="AY7:BB7"/>
    <mergeCell ref="AW8:AX8"/>
    <mergeCell ref="AY8:BB8"/>
    <mergeCell ref="AW9:AX9"/>
    <mergeCell ref="AY9:BB9"/>
    <mergeCell ref="AW10:AX10"/>
    <mergeCell ref="AY10:BB10"/>
    <mergeCell ref="AW11:AX11"/>
    <mergeCell ref="AQ11:AR11"/>
    <mergeCell ref="AS11:AV11"/>
    <mergeCell ref="AQ12:AR12"/>
    <mergeCell ref="AS12:AV12"/>
    <mergeCell ref="AS13:AV13"/>
    <mergeCell ref="AQ8:AR8"/>
    <mergeCell ref="AS8:AV8"/>
    <mergeCell ref="AQ9:AR9"/>
    <mergeCell ref="AS9:AV9"/>
    <mergeCell ref="AQ10:AR10"/>
    <mergeCell ref="AS10:AV10"/>
    <mergeCell ref="AQ4:AV4"/>
    <mergeCell ref="AQ5:AR5"/>
    <mergeCell ref="AS5:AV5"/>
    <mergeCell ref="AQ6:AR6"/>
    <mergeCell ref="AS6:AV6"/>
    <mergeCell ref="AQ7:AR7"/>
    <mergeCell ref="AS7:AV7"/>
    <mergeCell ref="AM10:AP10"/>
    <mergeCell ref="AM11:AP11"/>
    <mergeCell ref="AM12:AP12"/>
    <mergeCell ref="AM13:AP13"/>
    <mergeCell ref="AM14:AP14"/>
    <mergeCell ref="AM5:AP5"/>
    <mergeCell ref="AM6:AP6"/>
    <mergeCell ref="AM7:AP7"/>
    <mergeCell ref="AM8:AP8"/>
    <mergeCell ref="AM9:AP9"/>
    <mergeCell ref="AG13:AJ13"/>
    <mergeCell ref="AG14:AJ14"/>
    <mergeCell ref="AK5:AL5"/>
    <mergeCell ref="AK6:AL6"/>
    <mergeCell ref="AK7:AL7"/>
    <mergeCell ref="AK8:AL8"/>
    <mergeCell ref="AK9:AL9"/>
    <mergeCell ref="AK10:AL10"/>
    <mergeCell ref="AK11:AL11"/>
    <mergeCell ref="AK12:AL12"/>
    <mergeCell ref="AK13:AL13"/>
    <mergeCell ref="AK14:AL14"/>
    <mergeCell ref="AG8:AJ8"/>
    <mergeCell ref="AG9:AJ9"/>
    <mergeCell ref="AG10:AJ10"/>
    <mergeCell ref="AG11:AJ11"/>
    <mergeCell ref="AG12:AJ12"/>
    <mergeCell ref="Y4:AD4"/>
    <mergeCell ref="AE5:AF5"/>
    <mergeCell ref="AE6:AF6"/>
    <mergeCell ref="AE7:AF7"/>
    <mergeCell ref="AE8:AF8"/>
    <mergeCell ref="AA10:AD10"/>
    <mergeCell ref="AA11:AD11"/>
    <mergeCell ref="AA12:AD12"/>
    <mergeCell ref="AA13:AD13"/>
    <mergeCell ref="AA14:AD14"/>
    <mergeCell ref="AA5:AD5"/>
    <mergeCell ref="AA6:AD6"/>
    <mergeCell ref="AA7:AD7"/>
    <mergeCell ref="AA8:AD8"/>
    <mergeCell ref="AA9:AD9"/>
    <mergeCell ref="Y10:Z10"/>
    <mergeCell ref="Y11:Z11"/>
    <mergeCell ref="Y12:Z12"/>
    <mergeCell ref="Y13:Z13"/>
    <mergeCell ref="Y14:Z14"/>
    <mergeCell ref="Y5:Z5"/>
    <mergeCell ref="Y6:Z6"/>
    <mergeCell ref="Y7:Z7"/>
    <mergeCell ref="Y8:Z8"/>
    <mergeCell ref="Y9:Z9"/>
    <mergeCell ref="S14:T14"/>
    <mergeCell ref="S4:X4"/>
    <mergeCell ref="U5:X5"/>
    <mergeCell ref="U6:X6"/>
    <mergeCell ref="U7:X7"/>
    <mergeCell ref="U8:X8"/>
    <mergeCell ref="U9:X9"/>
    <mergeCell ref="U10:X10"/>
    <mergeCell ref="U11:X11"/>
    <mergeCell ref="U12:X12"/>
    <mergeCell ref="U13:X13"/>
    <mergeCell ref="U14:X14"/>
    <mergeCell ref="S9:T9"/>
    <mergeCell ref="S10:T10"/>
    <mergeCell ref="S11:T11"/>
    <mergeCell ref="S12:T12"/>
    <mergeCell ref="S13:T13"/>
    <mergeCell ref="M4:R4"/>
    <mergeCell ref="S5:T5"/>
    <mergeCell ref="S6:T6"/>
    <mergeCell ref="S7:T7"/>
    <mergeCell ref="S8:T8"/>
    <mergeCell ref="O10:R10"/>
    <mergeCell ref="O11:R11"/>
    <mergeCell ref="O12:R12"/>
    <mergeCell ref="O13:R13"/>
    <mergeCell ref="O14:R14"/>
    <mergeCell ref="O5:R5"/>
    <mergeCell ref="O6:R6"/>
    <mergeCell ref="O7:R7"/>
    <mergeCell ref="O8:R8"/>
    <mergeCell ref="O9:R9"/>
    <mergeCell ref="M10:N10"/>
    <mergeCell ref="M11:N11"/>
    <mergeCell ref="M12:N12"/>
    <mergeCell ref="M13:N13"/>
    <mergeCell ref="M14:N14"/>
    <mergeCell ref="M5:N5"/>
    <mergeCell ref="M6:N6"/>
    <mergeCell ref="M7:N7"/>
    <mergeCell ref="M8:N8"/>
    <mergeCell ref="M9:N9"/>
    <mergeCell ref="G12:H12"/>
    <mergeCell ref="G13:H13"/>
    <mergeCell ref="G14:H14"/>
    <mergeCell ref="I5:L5"/>
    <mergeCell ref="I6:L6"/>
    <mergeCell ref="I7:L7"/>
    <mergeCell ref="I8:L8"/>
    <mergeCell ref="I9:L9"/>
    <mergeCell ref="I10:L10"/>
    <mergeCell ref="I11:L11"/>
    <mergeCell ref="I12:L12"/>
    <mergeCell ref="I13:L13"/>
    <mergeCell ref="I14:L14"/>
    <mergeCell ref="G7:H7"/>
    <mergeCell ref="G8:H8"/>
    <mergeCell ref="G9:H9"/>
    <mergeCell ref="G10:H10"/>
    <mergeCell ref="G11:H11"/>
    <mergeCell ref="C12:F12"/>
    <mergeCell ref="C13:F13"/>
    <mergeCell ref="C14:F14"/>
    <mergeCell ref="A7:B7"/>
    <mergeCell ref="A8:B8"/>
    <mergeCell ref="A9:B9"/>
    <mergeCell ref="A10:B10"/>
    <mergeCell ref="A11:B11"/>
    <mergeCell ref="A5:B5"/>
    <mergeCell ref="A6:B6"/>
    <mergeCell ref="A4:F4"/>
    <mergeCell ref="G5:H5"/>
    <mergeCell ref="G6:H6"/>
    <mergeCell ref="G4:L4"/>
    <mergeCell ref="BI10:BI15"/>
    <mergeCell ref="AE9:AF9"/>
    <mergeCell ref="AE10:AF10"/>
    <mergeCell ref="AE11:AF11"/>
    <mergeCell ref="AE12:AF12"/>
    <mergeCell ref="AE13:AF13"/>
    <mergeCell ref="AE14:AF14"/>
    <mergeCell ref="AG5:AJ5"/>
    <mergeCell ref="AG6:AJ6"/>
    <mergeCell ref="AG7:AJ7"/>
    <mergeCell ref="A12:B12"/>
    <mergeCell ref="A13:B13"/>
    <mergeCell ref="A14:B14"/>
    <mergeCell ref="C5:F5"/>
    <mergeCell ref="C6:F6"/>
    <mergeCell ref="C7:F7"/>
    <mergeCell ref="C8:F8"/>
    <mergeCell ref="C9:F9"/>
    <mergeCell ref="C10:F10"/>
    <mergeCell ref="C11:F11"/>
  </mergeCells>
  <phoneticPr fontId="1"/>
  <conditionalFormatting sqref="A5:B15 G5:H15 M5:N15 S5:T15 Y5:Z15 AE5:AF15 AK5:AL15 AQ5:AR15 AW5:AX15 BC5:BD15">
    <cfRule type="expression" dxfId="2" priority="26">
      <formula>$M$1="入れない"</formula>
    </cfRule>
    <cfRule type="expression" dxfId="1" priority="27">
      <formula>$M$1="薄字"</formula>
    </cfRule>
  </conditionalFormatting>
  <conditionalFormatting sqref="M1:N2">
    <cfRule type="cellIs" dxfId="0" priority="23" operator="equal">
      <formula>"入れる"</formula>
    </cfRule>
  </conditionalFormatting>
  <dataValidations count="2">
    <dataValidation type="list" allowBlank="1" showInputMessage="1" showErrorMessage="1" sqref="M2:N2" xr:uid="{00000000-0002-0000-0000-000000000000}">
      <formula1>"入れる,入れない"</formula1>
    </dataValidation>
    <dataValidation type="list" allowBlank="1" showInputMessage="1" showErrorMessage="1" sqref="M1:N1" xr:uid="{1BB064A4-E849-4884-BDBC-9F14726A0AED}">
      <formula1>"入れる,薄字,入れない"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zoomScale="130" zoomScaleNormal="130" workbookViewId="0">
      <selection activeCell="M4" sqref="M4"/>
    </sheetView>
  </sheetViews>
  <sheetFormatPr defaultRowHeight="13.5" x14ac:dyDescent="0.15"/>
  <cols>
    <col min="1" max="1" width="6" bestFit="1" customWidth="1"/>
    <col min="2" max="2" width="23.5" bestFit="1" customWidth="1"/>
    <col min="3" max="12" width="5" style="3" customWidth="1"/>
    <col min="13" max="13" width="5" customWidth="1"/>
  </cols>
  <sheetData>
    <row r="1" spans="1:13" ht="14.25" thickBot="1" x14ac:dyDescent="0.2">
      <c r="A1" s="51" t="s">
        <v>62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3" ht="21" customHeight="1" x14ac:dyDescent="0.15">
      <c r="A2" s="52" t="s">
        <v>21</v>
      </c>
      <c r="B2" s="49" t="s">
        <v>64</v>
      </c>
      <c r="C2" s="2" t="s">
        <v>31</v>
      </c>
      <c r="D2" s="2" t="s">
        <v>32</v>
      </c>
      <c r="E2" s="2" t="s">
        <v>33</v>
      </c>
      <c r="F2" s="2" t="s">
        <v>34</v>
      </c>
      <c r="G2" s="2"/>
      <c r="H2" s="2" t="s">
        <v>35</v>
      </c>
      <c r="I2" s="2" t="s">
        <v>36</v>
      </c>
      <c r="J2" s="2"/>
      <c r="K2" s="2" t="s">
        <v>65</v>
      </c>
      <c r="L2" s="2" t="s">
        <v>66</v>
      </c>
      <c r="M2" s="2"/>
    </row>
    <row r="3" spans="1:13" ht="21" customHeight="1" thickBot="1" x14ac:dyDescent="0.2">
      <c r="A3" s="52"/>
      <c r="B3" s="50"/>
      <c r="C3" s="3" t="str">
        <f>MID($B2,1,1)</f>
        <v>新</v>
      </c>
      <c r="D3" s="3" t="str">
        <f>MID($B2,2,1)</f>
        <v>聞</v>
      </c>
      <c r="E3" s="3" t="str">
        <f>MID($B2,3,1)</f>
        <v>記</v>
      </c>
      <c r="F3" s="3" t="str">
        <f>MID($B2,4,1)</f>
        <v>事</v>
      </c>
      <c r="G3" s="3" t="str">
        <f>MID($B2,5,1)</f>
        <v>の</v>
      </c>
      <c r="H3" s="3" t="str">
        <f>MID($B2,6,1)</f>
        <v>内</v>
      </c>
      <c r="I3" s="3" t="str">
        <f>MID($B2,7,1)</f>
        <v>容</v>
      </c>
      <c r="J3" s="3" t="str">
        <f>MID($B2,8,1)</f>
        <v>を</v>
      </c>
      <c r="K3" s="3" t="str">
        <f>MID($B2,9,1)</f>
        <v>吟</v>
      </c>
      <c r="L3" s="3" t="str">
        <f>MID($B2,10,1)</f>
        <v>味</v>
      </c>
      <c r="M3" s="3" t="str">
        <f>MID($B2,11,1)</f>
        <v>す</v>
      </c>
    </row>
    <row r="4" spans="1:13" ht="21" customHeight="1" x14ac:dyDescent="0.15">
      <c r="A4" s="52" t="s">
        <v>22</v>
      </c>
      <c r="B4" s="49" t="s">
        <v>16</v>
      </c>
      <c r="C4" s="2" t="s">
        <v>37</v>
      </c>
      <c r="D4" s="2" t="s">
        <v>38</v>
      </c>
      <c r="E4" s="2"/>
      <c r="F4" s="2" t="s">
        <v>39</v>
      </c>
      <c r="G4" s="2"/>
      <c r="H4" s="2"/>
      <c r="I4" s="2"/>
      <c r="J4" s="2"/>
      <c r="K4" s="2"/>
      <c r="L4" s="2"/>
      <c r="M4" s="2"/>
    </row>
    <row r="5" spans="1:13" ht="21" customHeight="1" thickBot="1" x14ac:dyDescent="0.2">
      <c r="A5" s="52"/>
      <c r="B5" s="50"/>
      <c r="C5" s="3" t="str">
        <f>MID($B4,1,1)</f>
        <v>情</v>
      </c>
      <c r="D5" s="3" t="str">
        <f>MID($B4,2,1)</f>
        <v>報</v>
      </c>
      <c r="E5" s="3" t="str">
        <f>MID($B4,3,1)</f>
        <v>を</v>
      </c>
      <c r="F5" s="3" t="str">
        <f>MID($B4,4,1)</f>
        <v>得</v>
      </c>
      <c r="G5" s="3" t="str">
        <f>MID($B4,5,1)</f>
        <v>る</v>
      </c>
      <c r="H5" s="3" t="str">
        <f>MID($B4,6,1)</f>
        <v/>
      </c>
      <c r="I5" s="3" t="str">
        <f>MID($B4,7,1)</f>
        <v/>
      </c>
      <c r="J5" s="3" t="str">
        <f>MID($B4,8,1)</f>
        <v/>
      </c>
      <c r="K5" s="3" t="str">
        <f>MID($B4,9,1)</f>
        <v/>
      </c>
      <c r="L5" s="3" t="str">
        <f>MID($B4,10,1)</f>
        <v/>
      </c>
      <c r="M5" s="3" t="str">
        <f>MID($B4,11,1)</f>
        <v/>
      </c>
    </row>
    <row r="6" spans="1:13" ht="21" customHeight="1" x14ac:dyDescent="0.15">
      <c r="A6" s="52" t="s">
        <v>23</v>
      </c>
      <c r="B6" s="49" t="s">
        <v>17</v>
      </c>
      <c r="C6" s="2" t="s">
        <v>40</v>
      </c>
      <c r="D6" s="2" t="s">
        <v>41</v>
      </c>
      <c r="E6" s="2"/>
      <c r="F6" s="2" t="s">
        <v>42</v>
      </c>
      <c r="G6" s="2"/>
      <c r="H6" s="2"/>
      <c r="I6" s="2"/>
      <c r="J6" s="2"/>
      <c r="K6" s="2"/>
      <c r="L6" s="2"/>
      <c r="M6" s="2"/>
    </row>
    <row r="7" spans="1:13" ht="21" customHeight="1" thickBot="1" x14ac:dyDescent="0.2">
      <c r="A7" s="52"/>
      <c r="B7" s="50"/>
      <c r="C7" s="3" t="str">
        <f>MID($B6,1,1)</f>
        <v>判</v>
      </c>
      <c r="D7" s="3" t="str">
        <f>MID($B6,2,1)</f>
        <v>断</v>
      </c>
      <c r="E7" s="3" t="str">
        <f>MID($B6,3,1)</f>
        <v>を</v>
      </c>
      <c r="F7" s="3" t="str">
        <f>MID($B6,4,1)</f>
        <v>下</v>
      </c>
      <c r="G7" s="3" t="str">
        <f>MID($B6,5,1)</f>
        <v>す</v>
      </c>
      <c r="H7" s="3" t="str">
        <f>MID($B6,6,1)</f>
        <v/>
      </c>
      <c r="I7" s="3" t="str">
        <f>MID($B6,7,1)</f>
        <v/>
      </c>
      <c r="J7" s="3" t="str">
        <f>MID($B6,8,1)</f>
        <v/>
      </c>
      <c r="K7" s="3" t="str">
        <f>MID($B6,9,1)</f>
        <v/>
      </c>
      <c r="L7" s="3" t="str">
        <f>MID($B6,10,1)</f>
        <v/>
      </c>
      <c r="M7" s="3" t="str">
        <f>MID($B6,11,1)</f>
        <v/>
      </c>
    </row>
    <row r="8" spans="1:13" ht="21" customHeight="1" x14ac:dyDescent="0.15">
      <c r="A8" s="52" t="s">
        <v>24</v>
      </c>
      <c r="B8" s="49" t="s">
        <v>18</v>
      </c>
      <c r="C8" s="2" t="s">
        <v>43</v>
      </c>
      <c r="D8" s="2" t="s">
        <v>44</v>
      </c>
      <c r="E8" s="2"/>
      <c r="F8" s="2" t="s">
        <v>45</v>
      </c>
      <c r="G8" s="2"/>
      <c r="H8" s="2"/>
      <c r="I8" s="2"/>
      <c r="J8" s="2"/>
      <c r="K8" s="2"/>
      <c r="L8" s="2"/>
      <c r="M8" s="2"/>
    </row>
    <row r="9" spans="1:13" ht="21" customHeight="1" thickBot="1" x14ac:dyDescent="0.2">
      <c r="A9" s="52"/>
      <c r="B9" s="50"/>
      <c r="C9" s="3" t="str">
        <f>MID($B8,1,1)</f>
        <v>回</v>
      </c>
      <c r="D9" s="3" t="str">
        <f>MID($B8,2,1)</f>
        <v>数</v>
      </c>
      <c r="E9" s="3" t="str">
        <f>MID($B8,3,1)</f>
        <v>を</v>
      </c>
      <c r="F9" s="3" t="str">
        <f>MID($B8,4,1)</f>
        <v>減</v>
      </c>
      <c r="G9" s="3" t="str">
        <f>MID($B8,5,1)</f>
        <v>ら</v>
      </c>
      <c r="H9" s="3" t="str">
        <f>MID($B8,6,1)</f>
        <v>す</v>
      </c>
      <c r="I9" s="3" t="str">
        <f>MID($B8,7,1)</f>
        <v/>
      </c>
      <c r="J9" s="3" t="str">
        <f>MID($B8,8,1)</f>
        <v/>
      </c>
      <c r="K9" s="3" t="str">
        <f>MID($B8,9,1)</f>
        <v/>
      </c>
      <c r="L9" s="3" t="str">
        <f>MID($B8,10,1)</f>
        <v/>
      </c>
      <c r="M9" s="3" t="str">
        <f>MID($B8,11,1)</f>
        <v/>
      </c>
    </row>
    <row r="10" spans="1:13" ht="21" customHeight="1" x14ac:dyDescent="0.15">
      <c r="A10" s="52" t="s">
        <v>25</v>
      </c>
      <c r="B10" s="49" t="s">
        <v>19</v>
      </c>
      <c r="C10" s="2" t="s">
        <v>43</v>
      </c>
      <c r="D10" s="2" t="s">
        <v>46</v>
      </c>
      <c r="E10" s="2"/>
      <c r="F10" s="2" t="s">
        <v>34</v>
      </c>
      <c r="G10" s="2" t="s">
        <v>47</v>
      </c>
      <c r="H10" s="2"/>
      <c r="I10" s="2"/>
      <c r="J10" s="2"/>
      <c r="K10" s="2"/>
      <c r="L10" s="2"/>
      <c r="M10" s="2"/>
    </row>
    <row r="11" spans="1:13" ht="21" customHeight="1" thickBot="1" x14ac:dyDescent="0.2">
      <c r="A11" s="52"/>
      <c r="B11" s="50"/>
      <c r="C11" s="3" t="str">
        <f>MID($B10,1,1)</f>
        <v>会</v>
      </c>
      <c r="D11" s="3" t="str">
        <f>MID($B10,2,1)</f>
        <v>長</v>
      </c>
      <c r="E11" s="3" t="str">
        <f>MID($B10,3,1)</f>
        <v>が</v>
      </c>
      <c r="F11" s="3" t="str">
        <f>MID($B10,4,1)</f>
        <v>辞</v>
      </c>
      <c r="G11" s="3" t="str">
        <f>MID($B10,5,1)</f>
        <v>任</v>
      </c>
      <c r="H11" s="3" t="str">
        <f>MID($B10,6,1)</f>
        <v>す</v>
      </c>
      <c r="I11" s="3" t="str">
        <f>MID($B10,7,1)</f>
        <v>る</v>
      </c>
      <c r="J11" s="3" t="str">
        <f>MID($B10,8,1)</f>
        <v/>
      </c>
      <c r="K11" s="3" t="str">
        <f>MID($B10,9,1)</f>
        <v/>
      </c>
      <c r="L11" s="3" t="str">
        <f>MID($B10,10,1)</f>
        <v/>
      </c>
      <c r="M11" s="3" t="str">
        <f>MID($B10,11,1)</f>
        <v/>
      </c>
    </row>
    <row r="12" spans="1:13" ht="21" customHeight="1" x14ac:dyDescent="0.15">
      <c r="A12" s="52" t="s">
        <v>26</v>
      </c>
      <c r="B12" s="49" t="s">
        <v>6</v>
      </c>
      <c r="C12" s="2" t="s">
        <v>48</v>
      </c>
      <c r="D12" s="2" t="s">
        <v>49</v>
      </c>
      <c r="E12" s="2"/>
      <c r="F12" s="2"/>
      <c r="G12" s="2" t="s">
        <v>50</v>
      </c>
      <c r="H12" s="2" t="s">
        <v>51</v>
      </c>
      <c r="I12" s="2"/>
      <c r="J12" s="2"/>
      <c r="K12" s="2"/>
      <c r="L12" s="2"/>
      <c r="M12" s="2"/>
    </row>
    <row r="13" spans="1:13" ht="21" customHeight="1" thickBot="1" x14ac:dyDescent="0.2">
      <c r="A13" s="52"/>
      <c r="B13" s="50"/>
      <c r="C13" s="3" t="str">
        <f>MID($B12,1,1)</f>
        <v>早</v>
      </c>
      <c r="D13" s="3" t="str">
        <f>MID($B12,2,1)</f>
        <v>起</v>
      </c>
      <c r="E13" s="3" t="str">
        <f>MID($B12,3,1)</f>
        <v>き</v>
      </c>
      <c r="F13" s="3" t="str">
        <f>MID($B12,4,1)</f>
        <v>の</v>
      </c>
      <c r="G13" s="3" t="str">
        <f>MID($B12,5,1)</f>
        <v>習</v>
      </c>
      <c r="H13" s="3" t="str">
        <f>MID($B12,6,1)</f>
        <v>慣</v>
      </c>
      <c r="I13" s="3" t="str">
        <f>MID($B12,7,1)</f>
        <v/>
      </c>
      <c r="J13" s="3" t="str">
        <f>MID($B12,8,1)</f>
        <v/>
      </c>
      <c r="K13" s="3" t="str">
        <f>MID($B12,9,1)</f>
        <v/>
      </c>
      <c r="L13" s="3" t="str">
        <f>MID($B12,10,1)</f>
        <v/>
      </c>
      <c r="M13" s="3" t="str">
        <f>MID($B12,11,1)</f>
        <v/>
      </c>
    </row>
    <row r="14" spans="1:13" ht="21" customHeight="1" x14ac:dyDescent="0.15">
      <c r="A14" s="52" t="s">
        <v>27</v>
      </c>
      <c r="B14" s="49" t="s">
        <v>7</v>
      </c>
      <c r="C14" s="2" t="s">
        <v>52</v>
      </c>
      <c r="D14" s="2" t="s">
        <v>53</v>
      </c>
      <c r="E14" s="2"/>
      <c r="F14" s="2"/>
      <c r="G14" s="2"/>
      <c r="H14" s="2"/>
      <c r="I14" s="2"/>
      <c r="J14" s="2"/>
      <c r="K14" s="2"/>
      <c r="L14" s="2"/>
      <c r="M14" s="2"/>
    </row>
    <row r="15" spans="1:13" ht="21" customHeight="1" thickBot="1" x14ac:dyDescent="0.2">
      <c r="A15" s="52"/>
      <c r="B15" s="50"/>
      <c r="C15" s="3" t="str">
        <f>MID($B14,1,1)</f>
        <v>印</v>
      </c>
      <c r="D15" s="3" t="str">
        <f>MID($B14,2,1)</f>
        <v>象</v>
      </c>
      <c r="E15" s="3" t="str">
        <f>MID($B14,3,1)</f>
        <v>が</v>
      </c>
      <c r="F15" s="3" t="str">
        <f>MID($B14,4,1)</f>
        <v>よ</v>
      </c>
      <c r="G15" s="3" t="str">
        <f>MID($B14,5,1)</f>
        <v>い</v>
      </c>
      <c r="H15" s="3" t="str">
        <f>MID($B14,6,1)</f>
        <v/>
      </c>
      <c r="I15" s="3" t="str">
        <f>MID($B14,7,1)</f>
        <v/>
      </c>
      <c r="J15" s="3" t="str">
        <f>MID($B14,8,1)</f>
        <v/>
      </c>
      <c r="K15" s="3" t="str">
        <f>MID($B14,9,1)</f>
        <v/>
      </c>
      <c r="L15" s="3" t="str">
        <f>MID($B14,10,1)</f>
        <v/>
      </c>
      <c r="M15" s="3" t="str">
        <f>MID($B14,11,1)</f>
        <v/>
      </c>
    </row>
    <row r="16" spans="1:13" ht="21" customHeight="1" x14ac:dyDescent="0.15">
      <c r="A16" s="52" t="s">
        <v>28</v>
      </c>
      <c r="B16" s="49" t="s">
        <v>8</v>
      </c>
      <c r="C16" s="2" t="s">
        <v>54</v>
      </c>
      <c r="D16" s="2" t="s">
        <v>55</v>
      </c>
      <c r="E16" s="2"/>
      <c r="F16" s="2"/>
      <c r="G16" s="2" t="s">
        <v>56</v>
      </c>
      <c r="H16" s="2" t="s">
        <v>57</v>
      </c>
      <c r="I16" s="2" t="s">
        <v>58</v>
      </c>
      <c r="J16" s="2"/>
      <c r="K16" s="2"/>
      <c r="L16" s="2"/>
      <c r="M16" s="2"/>
    </row>
    <row r="17" spans="1:13" ht="21" customHeight="1" thickBot="1" x14ac:dyDescent="0.2">
      <c r="A17" s="52"/>
      <c r="B17" s="50"/>
      <c r="C17" s="3" t="str">
        <f>MID($B16,1,1)</f>
        <v>失</v>
      </c>
      <c r="D17" s="3" t="str">
        <f>MID($B16,2,1)</f>
        <v>敗</v>
      </c>
      <c r="E17" s="3" t="str">
        <f>MID($B16,3,1)</f>
        <v>す</v>
      </c>
      <c r="F17" s="3" t="str">
        <f>MID($B16,4,1)</f>
        <v>る</v>
      </c>
      <c r="G17" s="3" t="str">
        <f>MID($B16,5,1)</f>
        <v>可</v>
      </c>
      <c r="H17" s="3" t="str">
        <f>MID($B16,6,1)</f>
        <v>能</v>
      </c>
      <c r="I17" s="3" t="str">
        <f>MID($B16,7,1)</f>
        <v>性</v>
      </c>
      <c r="J17" s="3" t="str">
        <f>MID($B16,8,1)</f>
        <v/>
      </c>
      <c r="K17" s="3" t="str">
        <f>MID($B16,9,1)</f>
        <v/>
      </c>
      <c r="L17" s="3" t="str">
        <f>MID($B16,10,1)</f>
        <v/>
      </c>
      <c r="M17" s="3" t="str">
        <f>MID($B16,11,1)</f>
        <v/>
      </c>
    </row>
    <row r="18" spans="1:13" ht="21" customHeight="1" x14ac:dyDescent="0.15">
      <c r="A18" s="52" t="s">
        <v>29</v>
      </c>
      <c r="B18" s="49" t="s">
        <v>9</v>
      </c>
      <c r="C18" s="2" t="s">
        <v>59</v>
      </c>
      <c r="D18" s="2"/>
      <c r="E18" s="2" t="s">
        <v>60</v>
      </c>
      <c r="F18" s="2"/>
      <c r="G18" s="2"/>
      <c r="H18" s="2"/>
      <c r="I18" s="2"/>
      <c r="J18" s="2"/>
      <c r="K18" s="2"/>
      <c r="L18" s="2"/>
      <c r="M18" s="2"/>
    </row>
    <row r="19" spans="1:13" ht="21" customHeight="1" thickBot="1" x14ac:dyDescent="0.2">
      <c r="A19" s="52"/>
      <c r="B19" s="50"/>
      <c r="C19" s="3" t="str">
        <f>MID($B18,1,1)</f>
        <v>色</v>
      </c>
      <c r="D19" s="3" t="str">
        <f>MID($B18,2,1)</f>
        <v>が</v>
      </c>
      <c r="E19" s="3" t="str">
        <f>MID($B18,3,1)</f>
        <v>混</v>
      </c>
      <c r="F19" s="3" t="str">
        <f>MID($B18,4,1)</f>
        <v>じ</v>
      </c>
      <c r="G19" s="3" t="str">
        <f>MID($B18,5,1)</f>
        <v>る</v>
      </c>
      <c r="H19" s="3" t="str">
        <f>MID($B18,6,1)</f>
        <v/>
      </c>
      <c r="I19" s="3" t="str">
        <f>MID($B18,7,1)</f>
        <v/>
      </c>
      <c r="J19" s="3" t="str">
        <f>MID($B18,8,1)</f>
        <v/>
      </c>
      <c r="K19" s="3" t="str">
        <f>MID($B18,9,1)</f>
        <v/>
      </c>
      <c r="L19" s="3" t="str">
        <f>MID($B18,10,1)</f>
        <v/>
      </c>
      <c r="M19" s="3" t="str">
        <f>MID($B18,11,1)</f>
        <v/>
      </c>
    </row>
    <row r="20" spans="1:13" ht="21" customHeight="1" x14ac:dyDescent="0.15">
      <c r="A20" s="52" t="s">
        <v>30</v>
      </c>
      <c r="B20" s="49" t="s">
        <v>10</v>
      </c>
      <c r="C20" s="2" t="s">
        <v>61</v>
      </c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21" customHeight="1" thickBot="1" x14ac:dyDescent="0.2">
      <c r="A21" s="52"/>
      <c r="B21" s="50"/>
      <c r="C21" s="3" t="str">
        <f>MID($B20,1,1)</f>
        <v>思</v>
      </c>
      <c r="D21" s="3" t="str">
        <f>MID($B20,2,1)</f>
        <v>い</v>
      </c>
      <c r="E21" s="3" t="str">
        <f>MID($B20,3,1)</f>
        <v>こ</v>
      </c>
      <c r="F21" s="3" t="str">
        <f>MID($B20,4,1)</f>
        <v>み</v>
      </c>
      <c r="G21" s="3" t="str">
        <f>MID($B20,5,1)</f>
        <v>や</v>
      </c>
      <c r="H21" s="3" t="str">
        <f>MID($B20,6,1)</f>
        <v>す</v>
      </c>
      <c r="I21" s="3" t="str">
        <f>MID($B20,7,1)</f>
        <v>い</v>
      </c>
      <c r="J21" s="3" t="str">
        <f>MID($B20,8,1)</f>
        <v>そ</v>
      </c>
      <c r="K21" s="3" t="str">
        <f>MID($B20,9,1)</f>
        <v>く</v>
      </c>
      <c r="L21" s="3" t="str">
        <f>MID($B20,10,1)</f>
        <v/>
      </c>
      <c r="M21" s="3" t="str">
        <f>MID($B20,11,1)</f>
        <v/>
      </c>
    </row>
  </sheetData>
  <sheetProtection selectLockedCells="1"/>
  <mergeCells count="21">
    <mergeCell ref="A4:A5"/>
    <mergeCell ref="A14:A15"/>
    <mergeCell ref="A16:A17"/>
    <mergeCell ref="A18:A19"/>
    <mergeCell ref="A20:A21"/>
    <mergeCell ref="B20:B21"/>
    <mergeCell ref="A1:L1"/>
    <mergeCell ref="B10:B11"/>
    <mergeCell ref="B12:B13"/>
    <mergeCell ref="B14:B15"/>
    <mergeCell ref="B16:B17"/>
    <mergeCell ref="B18:B19"/>
    <mergeCell ref="A2:A3"/>
    <mergeCell ref="B2:B3"/>
    <mergeCell ref="B4:B5"/>
    <mergeCell ref="B6:B7"/>
    <mergeCell ref="B8:B9"/>
    <mergeCell ref="A12:A13"/>
    <mergeCell ref="A10:A11"/>
    <mergeCell ref="A8:A9"/>
    <mergeCell ref="A6:A7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"/>
  <sheetViews>
    <sheetView workbookViewId="0">
      <selection activeCell="N1" sqref="N1"/>
    </sheetView>
  </sheetViews>
  <sheetFormatPr defaultRowHeight="13.5" x14ac:dyDescent="0.15"/>
  <cols>
    <col min="2" max="2" width="3.5" bestFit="1" customWidth="1"/>
    <col min="3" max="23" width="3.125" customWidth="1"/>
    <col min="24" max="24" width="3.25" bestFit="1" customWidth="1"/>
  </cols>
  <sheetData>
    <row r="1" spans="1:24" x14ac:dyDescent="0.15">
      <c r="A1">
        <f ca="1">RAND()</f>
        <v>0.51157061324015718</v>
      </c>
      <c r="B1">
        <f ca="1">RANK(A1,A$1:A$10,0)</f>
        <v>4</v>
      </c>
      <c r="C1" s="1" t="str">
        <f>問題シート!C3</f>
        <v>新</v>
      </c>
      <c r="D1" s="1" t="str">
        <f>問題シート!D3</f>
        <v>聞</v>
      </c>
      <c r="E1" s="1" t="str">
        <f>問題シート!E3</f>
        <v>記</v>
      </c>
      <c r="F1" s="1" t="str">
        <f>問題シート!F3</f>
        <v>事</v>
      </c>
      <c r="G1" s="1" t="str">
        <f>問題シート!G3</f>
        <v>の</v>
      </c>
      <c r="H1" s="1" t="str">
        <f>問題シート!H3</f>
        <v>内</v>
      </c>
      <c r="I1" s="1" t="str">
        <f>問題シート!I3</f>
        <v>容</v>
      </c>
      <c r="J1" s="1" t="str">
        <f>問題シート!J3</f>
        <v>を</v>
      </c>
      <c r="K1" s="1" t="str">
        <f>問題シート!K3</f>
        <v>吟</v>
      </c>
      <c r="L1" s="1" t="str">
        <f>問題シート!L3</f>
        <v>味</v>
      </c>
      <c r="M1" s="1" t="str">
        <f>問題シート!M3</f>
        <v>す</v>
      </c>
      <c r="N1" t="str">
        <f>IF(問題シート!C2="","",問題シート!C2)</f>
        <v>しん</v>
      </c>
      <c r="O1" t="str">
        <f>IF(問題シート!D2="","",問題シート!D2)</f>
        <v>ぶん</v>
      </c>
      <c r="P1" t="str">
        <f>IF(問題シート!E2="","",問題シート!E2)</f>
        <v>き</v>
      </c>
      <c r="Q1" t="str">
        <f>IF(問題シート!F2="","",問題シート!F2)</f>
        <v>じ</v>
      </c>
      <c r="R1" t="str">
        <f>IF(問題シート!G2="","",問題シート!G2)</f>
        <v/>
      </c>
      <c r="S1" t="str">
        <f>IF(問題シート!H2="","",問題シート!H2)</f>
        <v>ない</v>
      </c>
      <c r="T1" t="str">
        <f>IF(問題シート!I2="","",問題シート!I2)</f>
        <v>よう</v>
      </c>
      <c r="U1" t="str">
        <f>IF(問題シート!J2="","",問題シート!J2)</f>
        <v/>
      </c>
      <c r="V1" t="str">
        <f>IF(問題シート!K2="","",問題シート!K2)</f>
        <v>ぎん</v>
      </c>
      <c r="W1" t="str">
        <f>IF(問題シート!L2="","",問題シート!L2)</f>
        <v>み</v>
      </c>
      <c r="X1" t="str">
        <f>IF(問題シート!M2="","",問題シート!M2)</f>
        <v/>
      </c>
    </row>
    <row r="2" spans="1:24" x14ac:dyDescent="0.15">
      <c r="A2">
        <f t="shared" ref="A2:A10" ca="1" si="0">RAND()</f>
        <v>0.12464546066201809</v>
      </c>
      <c r="B2">
        <f t="shared" ref="B2:B10" ca="1" si="1">RANK(A2,A$1:A$10,0)</f>
        <v>10</v>
      </c>
      <c r="C2" s="1" t="str">
        <f>問題シート!C5</f>
        <v>情</v>
      </c>
      <c r="D2" s="1" t="str">
        <f>問題シート!D5</f>
        <v>報</v>
      </c>
      <c r="E2" s="1" t="str">
        <f>問題シート!E5</f>
        <v>を</v>
      </c>
      <c r="F2" s="1" t="str">
        <f>問題シート!F5</f>
        <v>得</v>
      </c>
      <c r="G2" s="1" t="str">
        <f>問題シート!G5</f>
        <v>る</v>
      </c>
      <c r="H2" s="1" t="str">
        <f>問題シート!H5</f>
        <v/>
      </c>
      <c r="I2" s="1" t="str">
        <f>問題シート!I5</f>
        <v/>
      </c>
      <c r="J2" s="1" t="str">
        <f>問題シート!J5</f>
        <v/>
      </c>
      <c r="K2" s="1" t="str">
        <f>問題シート!K5</f>
        <v/>
      </c>
      <c r="L2" s="1" t="str">
        <f>問題シート!L5</f>
        <v/>
      </c>
      <c r="M2" s="1" t="str">
        <f>問題シート!M5</f>
        <v/>
      </c>
      <c r="N2" t="str">
        <f>IF(問題シート!C4="","",問題シート!C4)</f>
        <v>じょう</v>
      </c>
      <c r="O2" t="str">
        <f>IF(問題シート!D4="","",問題シート!D4)</f>
        <v>ほう</v>
      </c>
      <c r="P2" t="str">
        <f>IF(問題シート!E4="","",問題シート!E4)</f>
        <v/>
      </c>
      <c r="Q2" t="str">
        <f>IF(問題シート!F4="","",問題シート!F4)</f>
        <v>え</v>
      </c>
      <c r="R2" t="str">
        <f>IF(問題シート!G4="","",問題シート!G4)</f>
        <v/>
      </c>
      <c r="S2" t="str">
        <f>IF(問題シート!H4="","",問題シート!H4)</f>
        <v/>
      </c>
      <c r="T2" t="str">
        <f>IF(問題シート!I4="","",問題シート!I4)</f>
        <v/>
      </c>
      <c r="U2" t="str">
        <f>IF(問題シート!J4="","",問題シート!J4)</f>
        <v/>
      </c>
      <c r="V2" t="str">
        <f>IF(問題シート!K4="","",問題シート!K4)</f>
        <v/>
      </c>
      <c r="W2" t="str">
        <f>IF(問題シート!L4="","",問題シート!L4)</f>
        <v/>
      </c>
      <c r="X2" t="str">
        <f>IF(問題シート!M4="","",問題シート!M4)</f>
        <v/>
      </c>
    </row>
    <row r="3" spans="1:24" x14ac:dyDescent="0.15">
      <c r="A3">
        <f t="shared" ca="1" si="0"/>
        <v>0.26034033254868438</v>
      </c>
      <c r="B3">
        <f t="shared" ca="1" si="1"/>
        <v>7</v>
      </c>
      <c r="C3" s="1" t="str">
        <f>問題シート!C7</f>
        <v>判</v>
      </c>
      <c r="D3" s="1" t="str">
        <f>問題シート!D7</f>
        <v>断</v>
      </c>
      <c r="E3" s="1" t="str">
        <f>問題シート!E7</f>
        <v>を</v>
      </c>
      <c r="F3" s="1" t="str">
        <f>問題シート!F7</f>
        <v>下</v>
      </c>
      <c r="G3" s="1" t="str">
        <f>問題シート!G7</f>
        <v>す</v>
      </c>
      <c r="H3" s="1" t="str">
        <f>問題シート!H7</f>
        <v/>
      </c>
      <c r="I3" s="1" t="str">
        <f>問題シート!I7</f>
        <v/>
      </c>
      <c r="J3" s="1" t="str">
        <f>問題シート!J7</f>
        <v/>
      </c>
      <c r="K3" s="1" t="str">
        <f>問題シート!K7</f>
        <v/>
      </c>
      <c r="L3" s="1" t="str">
        <f>問題シート!L7</f>
        <v/>
      </c>
      <c r="M3" s="1" t="str">
        <f>問題シート!M7</f>
        <v/>
      </c>
      <c r="N3" t="str">
        <f>IF(問題シート!C6="","",問題シート!C6)</f>
        <v>はん</v>
      </c>
      <c r="O3" t="str">
        <f>IF(問題シート!D6="","",問題シート!D6)</f>
        <v>だん</v>
      </c>
      <c r="P3" t="str">
        <f>IF(問題シート!E6="","",問題シート!E6)</f>
        <v/>
      </c>
      <c r="Q3" t="str">
        <f>IF(問題シート!F6="","",問題シート!F6)</f>
        <v>くだ</v>
      </c>
      <c r="R3" t="str">
        <f>IF(問題シート!G6="","",問題シート!G6)</f>
        <v/>
      </c>
      <c r="S3" t="str">
        <f>IF(問題シート!H6="","",問題シート!H6)</f>
        <v/>
      </c>
      <c r="T3" t="str">
        <f>IF(問題シート!I6="","",問題シート!I6)</f>
        <v/>
      </c>
      <c r="U3" t="str">
        <f>IF(問題シート!J6="","",問題シート!J6)</f>
        <v/>
      </c>
      <c r="V3" t="str">
        <f>IF(問題シート!K6="","",問題シート!K6)</f>
        <v/>
      </c>
      <c r="W3" t="str">
        <f>IF(問題シート!L6="","",問題シート!L6)</f>
        <v/>
      </c>
      <c r="X3" t="str">
        <f>IF(問題シート!M6="","",問題シート!M6)</f>
        <v/>
      </c>
    </row>
    <row r="4" spans="1:24" x14ac:dyDescent="0.15">
      <c r="A4">
        <f t="shared" ca="1" si="0"/>
        <v>0.57378269032119122</v>
      </c>
      <c r="B4">
        <f t="shared" ca="1" si="1"/>
        <v>3</v>
      </c>
      <c r="C4" s="1" t="str">
        <f>問題シート!C9</f>
        <v>回</v>
      </c>
      <c r="D4" s="1" t="str">
        <f>問題シート!D9</f>
        <v>数</v>
      </c>
      <c r="E4" s="1" t="str">
        <f>問題シート!E9</f>
        <v>を</v>
      </c>
      <c r="F4" s="1" t="str">
        <f>問題シート!F9</f>
        <v>減</v>
      </c>
      <c r="G4" s="1" t="str">
        <f>問題シート!G9</f>
        <v>ら</v>
      </c>
      <c r="H4" s="1" t="str">
        <f>問題シート!H9</f>
        <v>す</v>
      </c>
      <c r="I4" s="1" t="str">
        <f>問題シート!I9</f>
        <v/>
      </c>
      <c r="J4" s="1" t="str">
        <f>問題シート!J9</f>
        <v/>
      </c>
      <c r="K4" s="1" t="str">
        <f>問題シート!K9</f>
        <v/>
      </c>
      <c r="L4" s="1" t="str">
        <f>問題シート!L9</f>
        <v/>
      </c>
      <c r="M4" s="1" t="str">
        <f>問題シート!M9</f>
        <v/>
      </c>
      <c r="N4" t="str">
        <f>IF(問題シート!C8="","",問題シート!C8)</f>
        <v>かい</v>
      </c>
      <c r="O4" t="str">
        <f>IF(問題シート!D8="","",問題シート!D8)</f>
        <v>すう</v>
      </c>
      <c r="P4" t="str">
        <f>IF(問題シート!E8="","",問題シート!E8)</f>
        <v/>
      </c>
      <c r="Q4" t="str">
        <f>IF(問題シート!F8="","",問題シート!F8)</f>
        <v>へ</v>
      </c>
      <c r="R4" t="str">
        <f>IF(問題シート!G8="","",問題シート!G8)</f>
        <v/>
      </c>
      <c r="S4" t="str">
        <f>IF(問題シート!H8="","",問題シート!H8)</f>
        <v/>
      </c>
      <c r="T4" t="str">
        <f>IF(問題シート!I8="","",問題シート!I8)</f>
        <v/>
      </c>
      <c r="U4" t="str">
        <f>IF(問題シート!J8="","",問題シート!J8)</f>
        <v/>
      </c>
      <c r="V4" t="str">
        <f>IF(問題シート!K8="","",問題シート!K8)</f>
        <v/>
      </c>
      <c r="W4" t="str">
        <f>IF(問題シート!L8="","",問題シート!L8)</f>
        <v/>
      </c>
      <c r="X4" t="str">
        <f>IF(問題シート!M8="","",問題シート!M8)</f>
        <v/>
      </c>
    </row>
    <row r="5" spans="1:24" x14ac:dyDescent="0.15">
      <c r="A5">
        <f t="shared" ca="1" si="0"/>
        <v>0.18221036072378283</v>
      </c>
      <c r="B5">
        <f t="shared" ca="1" si="1"/>
        <v>9</v>
      </c>
      <c r="C5" s="1" t="str">
        <f>問題シート!C11</f>
        <v>会</v>
      </c>
      <c r="D5" s="1" t="str">
        <f>問題シート!D11</f>
        <v>長</v>
      </c>
      <c r="E5" s="1" t="str">
        <f>問題シート!E11</f>
        <v>が</v>
      </c>
      <c r="F5" s="1" t="str">
        <f>問題シート!F11</f>
        <v>辞</v>
      </c>
      <c r="G5" s="1" t="str">
        <f>問題シート!G11</f>
        <v>任</v>
      </c>
      <c r="H5" s="1" t="str">
        <f>問題シート!H11</f>
        <v>す</v>
      </c>
      <c r="I5" s="1" t="str">
        <f>問題シート!I11</f>
        <v>る</v>
      </c>
      <c r="J5" s="1" t="str">
        <f>問題シート!J11</f>
        <v/>
      </c>
      <c r="K5" s="1" t="str">
        <f>問題シート!K11</f>
        <v/>
      </c>
      <c r="L5" s="1" t="str">
        <f>問題シート!L11</f>
        <v/>
      </c>
      <c r="M5" s="1" t="str">
        <f>問題シート!M11</f>
        <v/>
      </c>
      <c r="N5" t="str">
        <f>IF(問題シート!C10="","",問題シート!C10)</f>
        <v>かい</v>
      </c>
      <c r="O5" t="str">
        <f>IF(問題シート!D10="","",問題シート!D10)</f>
        <v>ちょう</v>
      </c>
      <c r="P5" t="str">
        <f>IF(問題シート!E10="","",問題シート!E10)</f>
        <v/>
      </c>
      <c r="Q5" t="str">
        <f>IF(問題シート!F10="","",問題シート!F10)</f>
        <v>じ</v>
      </c>
      <c r="R5" t="str">
        <f>IF(問題シート!G10="","",問題シート!G10)</f>
        <v>にん</v>
      </c>
      <c r="S5" t="str">
        <f>IF(問題シート!H10="","",問題シート!H10)</f>
        <v/>
      </c>
      <c r="T5" t="str">
        <f>IF(問題シート!I10="","",問題シート!I10)</f>
        <v/>
      </c>
      <c r="U5" t="str">
        <f>IF(問題シート!J10="","",問題シート!J10)</f>
        <v/>
      </c>
      <c r="V5" t="str">
        <f>IF(問題シート!K10="","",問題シート!K10)</f>
        <v/>
      </c>
      <c r="W5" t="str">
        <f>IF(問題シート!L10="","",問題シート!L10)</f>
        <v/>
      </c>
      <c r="X5" t="str">
        <f>IF(問題シート!M10="","",問題シート!M10)</f>
        <v/>
      </c>
    </row>
    <row r="6" spans="1:24" x14ac:dyDescent="0.15">
      <c r="A6">
        <f t="shared" ca="1" si="0"/>
        <v>0.44134167628675236</v>
      </c>
      <c r="B6">
        <f t="shared" ca="1" si="1"/>
        <v>6</v>
      </c>
      <c r="C6" s="1" t="str">
        <f>問題シート!C13</f>
        <v>早</v>
      </c>
      <c r="D6" s="1" t="str">
        <f>問題シート!D13</f>
        <v>起</v>
      </c>
      <c r="E6" s="1" t="str">
        <f>問題シート!E13</f>
        <v>き</v>
      </c>
      <c r="F6" s="1" t="str">
        <f>問題シート!F13</f>
        <v>の</v>
      </c>
      <c r="G6" s="1" t="str">
        <f>問題シート!G13</f>
        <v>習</v>
      </c>
      <c r="H6" s="1" t="str">
        <f>問題シート!H13</f>
        <v>慣</v>
      </c>
      <c r="I6" s="1" t="str">
        <f>問題シート!I13</f>
        <v/>
      </c>
      <c r="J6" s="1" t="str">
        <f>問題シート!J13</f>
        <v/>
      </c>
      <c r="K6" s="1" t="str">
        <f>問題シート!K13</f>
        <v/>
      </c>
      <c r="L6" s="1" t="str">
        <f>問題シート!L13</f>
        <v/>
      </c>
      <c r="M6" s="1" t="str">
        <f>問題シート!M13</f>
        <v/>
      </c>
      <c r="N6" t="str">
        <f>IF(問題シート!C12="","",問題シート!C12)</f>
        <v>はや</v>
      </c>
      <c r="O6" t="str">
        <f>IF(問題シート!D12="","",問題シート!D12)</f>
        <v>お</v>
      </c>
      <c r="P6" t="str">
        <f>IF(問題シート!E12="","",問題シート!E12)</f>
        <v/>
      </c>
      <c r="Q6" t="str">
        <f>IF(問題シート!F12="","",問題シート!F12)</f>
        <v/>
      </c>
      <c r="R6" t="str">
        <f>IF(問題シート!G12="","",問題シート!G12)</f>
        <v>しゅう</v>
      </c>
      <c r="S6" t="str">
        <f>IF(問題シート!H12="","",問題シート!H12)</f>
        <v>かん</v>
      </c>
      <c r="T6" t="str">
        <f>IF(問題シート!I12="","",問題シート!I12)</f>
        <v/>
      </c>
      <c r="U6" t="str">
        <f>IF(問題シート!J12="","",問題シート!J12)</f>
        <v/>
      </c>
      <c r="V6" t="str">
        <f>IF(問題シート!K12="","",問題シート!K12)</f>
        <v/>
      </c>
      <c r="W6" t="str">
        <f>IF(問題シート!L12="","",問題シート!L12)</f>
        <v/>
      </c>
      <c r="X6" t="str">
        <f>IF(問題シート!M12="","",問題シート!M12)</f>
        <v/>
      </c>
    </row>
    <row r="7" spans="1:24" x14ac:dyDescent="0.15">
      <c r="A7">
        <f t="shared" ca="1" si="0"/>
        <v>0.79136931431513846</v>
      </c>
      <c r="B7">
        <f t="shared" ca="1" si="1"/>
        <v>2</v>
      </c>
      <c r="C7" s="1" t="str">
        <f>問題シート!C15</f>
        <v>印</v>
      </c>
      <c r="D7" s="1" t="str">
        <f>問題シート!D15</f>
        <v>象</v>
      </c>
      <c r="E7" s="1" t="str">
        <f>問題シート!E15</f>
        <v>が</v>
      </c>
      <c r="F7" s="1" t="str">
        <f>問題シート!F15</f>
        <v>よ</v>
      </c>
      <c r="G7" s="1" t="str">
        <f>問題シート!G15</f>
        <v>い</v>
      </c>
      <c r="H7" s="1" t="str">
        <f>問題シート!H15</f>
        <v/>
      </c>
      <c r="I7" s="1" t="str">
        <f>問題シート!I15</f>
        <v/>
      </c>
      <c r="J7" s="1" t="str">
        <f>問題シート!J15</f>
        <v/>
      </c>
      <c r="K7" s="1" t="str">
        <f>問題シート!K15</f>
        <v/>
      </c>
      <c r="L7" s="1" t="str">
        <f>問題シート!L15</f>
        <v/>
      </c>
      <c r="M7" s="1" t="str">
        <f>問題シート!M15</f>
        <v/>
      </c>
      <c r="N7" t="str">
        <f>IF(問題シート!C14="","",問題シート!C14)</f>
        <v>いん</v>
      </c>
      <c r="O7" t="str">
        <f>IF(問題シート!D14="","",問題シート!D14)</f>
        <v>しょう</v>
      </c>
      <c r="P7" t="str">
        <f>IF(問題シート!E14="","",問題シート!E14)</f>
        <v/>
      </c>
      <c r="Q7" t="str">
        <f>IF(問題シート!F14="","",問題シート!F14)</f>
        <v/>
      </c>
      <c r="R7" t="str">
        <f>IF(問題シート!G14="","",問題シート!G14)</f>
        <v/>
      </c>
      <c r="S7" t="str">
        <f>IF(問題シート!H14="","",問題シート!H14)</f>
        <v/>
      </c>
      <c r="T7" t="str">
        <f>IF(問題シート!I14="","",問題シート!I14)</f>
        <v/>
      </c>
      <c r="U7" t="str">
        <f>IF(問題シート!J14="","",問題シート!J14)</f>
        <v/>
      </c>
      <c r="V7" t="str">
        <f>IF(問題シート!K14="","",問題シート!K14)</f>
        <v/>
      </c>
      <c r="W7" t="str">
        <f>IF(問題シート!L14="","",問題シート!L14)</f>
        <v/>
      </c>
      <c r="X7" t="str">
        <f>IF(問題シート!M14="","",問題シート!M14)</f>
        <v/>
      </c>
    </row>
    <row r="8" spans="1:24" x14ac:dyDescent="0.15">
      <c r="A8">
        <f t="shared" ca="1" si="0"/>
        <v>0.25992603696511174</v>
      </c>
      <c r="B8">
        <f t="shared" ca="1" si="1"/>
        <v>8</v>
      </c>
      <c r="C8" s="1" t="str">
        <f>問題シート!C17</f>
        <v>失</v>
      </c>
      <c r="D8" s="1" t="str">
        <f>問題シート!D17</f>
        <v>敗</v>
      </c>
      <c r="E8" s="1" t="str">
        <f>問題シート!E17</f>
        <v>す</v>
      </c>
      <c r="F8" s="1" t="str">
        <f>問題シート!F17</f>
        <v>る</v>
      </c>
      <c r="G8" s="1" t="str">
        <f>問題シート!G17</f>
        <v>可</v>
      </c>
      <c r="H8" s="1" t="str">
        <f>問題シート!H17</f>
        <v>能</v>
      </c>
      <c r="I8" s="1" t="str">
        <f>問題シート!I17</f>
        <v>性</v>
      </c>
      <c r="J8" s="1" t="str">
        <f>問題シート!J17</f>
        <v/>
      </c>
      <c r="K8" s="1" t="str">
        <f>問題シート!K17</f>
        <v/>
      </c>
      <c r="L8" s="1" t="str">
        <f>問題シート!L17</f>
        <v/>
      </c>
      <c r="M8" s="1" t="str">
        <f>問題シート!M17</f>
        <v/>
      </c>
      <c r="N8" t="str">
        <f>IF(問題シート!C16="","",問題シート!C16)</f>
        <v>しっ</v>
      </c>
      <c r="O8" t="str">
        <f>IF(問題シート!D16="","",問題シート!D16)</f>
        <v>ぱい</v>
      </c>
      <c r="P8" t="str">
        <f>IF(問題シート!E16="","",問題シート!E16)</f>
        <v/>
      </c>
      <c r="Q8" t="str">
        <f>IF(問題シート!F16="","",問題シート!F16)</f>
        <v/>
      </c>
      <c r="R8" t="str">
        <f>IF(問題シート!G16="","",問題シート!G16)</f>
        <v>か</v>
      </c>
      <c r="S8" t="str">
        <f>IF(問題シート!H16="","",問題シート!H16)</f>
        <v>のう</v>
      </c>
      <c r="T8" t="str">
        <f>IF(問題シート!I16="","",問題シート!I16)</f>
        <v>せい</v>
      </c>
      <c r="U8" t="str">
        <f>IF(問題シート!J16="","",問題シート!J16)</f>
        <v/>
      </c>
      <c r="V8" t="str">
        <f>IF(問題シート!K16="","",問題シート!K16)</f>
        <v/>
      </c>
      <c r="W8" t="str">
        <f>IF(問題シート!L16="","",問題シート!L16)</f>
        <v/>
      </c>
      <c r="X8" t="str">
        <f>IF(問題シート!M16="","",問題シート!M16)</f>
        <v/>
      </c>
    </row>
    <row r="9" spans="1:24" x14ac:dyDescent="0.15">
      <c r="A9">
        <f t="shared" ca="1" si="0"/>
        <v>0.50528266928675836</v>
      </c>
      <c r="B9">
        <f t="shared" ca="1" si="1"/>
        <v>5</v>
      </c>
      <c r="C9" s="1" t="str">
        <f>問題シート!C19</f>
        <v>色</v>
      </c>
      <c r="D9" s="1" t="str">
        <f>問題シート!D19</f>
        <v>が</v>
      </c>
      <c r="E9" s="1" t="str">
        <f>問題シート!E19</f>
        <v>混</v>
      </c>
      <c r="F9" s="1" t="str">
        <f>問題シート!F19</f>
        <v>じ</v>
      </c>
      <c r="G9" s="1" t="str">
        <f>問題シート!G19</f>
        <v>る</v>
      </c>
      <c r="H9" s="1" t="str">
        <f>問題シート!H19</f>
        <v/>
      </c>
      <c r="I9" s="1" t="str">
        <f>問題シート!I19</f>
        <v/>
      </c>
      <c r="J9" s="1" t="str">
        <f>問題シート!J19</f>
        <v/>
      </c>
      <c r="K9" s="1" t="str">
        <f>問題シート!K19</f>
        <v/>
      </c>
      <c r="L9" s="1" t="str">
        <f>問題シート!L19</f>
        <v/>
      </c>
      <c r="M9" s="1" t="str">
        <f>問題シート!M19</f>
        <v/>
      </c>
      <c r="N9" t="str">
        <f>IF(問題シート!C18="","",問題シート!C18)</f>
        <v>いろ</v>
      </c>
      <c r="O9" t="str">
        <f>IF(問題シート!D18="","",問題シート!D18)</f>
        <v/>
      </c>
      <c r="P9" t="str">
        <f>IF(問題シート!E18="","",問題シート!E18)</f>
        <v>ま</v>
      </c>
      <c r="Q9" t="str">
        <f>IF(問題シート!F18="","",問題シート!F18)</f>
        <v/>
      </c>
      <c r="R9" t="str">
        <f>IF(問題シート!G18="","",問題シート!G18)</f>
        <v/>
      </c>
      <c r="S9" t="str">
        <f>IF(問題シート!H18="","",問題シート!H18)</f>
        <v/>
      </c>
      <c r="T9" t="str">
        <f>IF(問題シート!I18="","",問題シート!I18)</f>
        <v/>
      </c>
      <c r="U9" t="str">
        <f>IF(問題シート!J18="","",問題シート!J18)</f>
        <v/>
      </c>
      <c r="V9" t="str">
        <f>IF(問題シート!K18="","",問題シート!K18)</f>
        <v/>
      </c>
      <c r="W9" t="str">
        <f>IF(問題シート!L18="","",問題シート!L18)</f>
        <v/>
      </c>
      <c r="X9" t="str">
        <f>IF(問題シート!M18="","",問題シート!M18)</f>
        <v/>
      </c>
    </row>
    <row r="10" spans="1:24" x14ac:dyDescent="0.15">
      <c r="A10">
        <f t="shared" ca="1" si="0"/>
        <v>0.95587522385342616</v>
      </c>
      <c r="B10">
        <f t="shared" ca="1" si="1"/>
        <v>1</v>
      </c>
      <c r="C10" s="1" t="str">
        <f>問題シート!C21</f>
        <v>思</v>
      </c>
      <c r="D10" s="1" t="str">
        <f>問題シート!D21</f>
        <v>い</v>
      </c>
      <c r="E10" s="1" t="str">
        <f>問題シート!E21</f>
        <v>こ</v>
      </c>
      <c r="F10" s="1" t="str">
        <f>問題シート!F21</f>
        <v>み</v>
      </c>
      <c r="G10" s="1" t="str">
        <f>問題シート!G21</f>
        <v>や</v>
      </c>
      <c r="H10" s="1" t="str">
        <f>問題シート!H21</f>
        <v>す</v>
      </c>
      <c r="I10" s="1" t="str">
        <f>問題シート!I21</f>
        <v>い</v>
      </c>
      <c r="J10" s="1" t="str">
        <f>問題シート!J21</f>
        <v>そ</v>
      </c>
      <c r="K10" s="1" t="str">
        <f>問題シート!K21</f>
        <v>く</v>
      </c>
      <c r="L10" s="1" t="str">
        <f>問題シート!L21</f>
        <v/>
      </c>
      <c r="M10" s="1" t="str">
        <f>問題シート!M21</f>
        <v/>
      </c>
      <c r="N10" t="str">
        <f>IF(問題シート!C20="","",問題シート!C20)</f>
        <v>おも</v>
      </c>
      <c r="O10" t="str">
        <f>IF(問題シート!D20="","",問題シート!D20)</f>
        <v/>
      </c>
      <c r="P10" t="str">
        <f>IF(問題シート!E20="","",問題シート!E20)</f>
        <v/>
      </c>
      <c r="Q10" t="str">
        <f>IF(問題シート!F20="","",問題シート!F20)</f>
        <v/>
      </c>
      <c r="R10" t="str">
        <f>IF(問題シート!G20="","",問題シート!G20)</f>
        <v/>
      </c>
      <c r="S10" t="str">
        <f>IF(問題シート!H20="","",問題シート!H20)</f>
        <v/>
      </c>
      <c r="T10" t="str">
        <f>IF(問題シート!I20="","",問題シート!I20)</f>
        <v/>
      </c>
      <c r="U10" t="str">
        <f>IF(問題シート!J20="","",問題シート!J20)</f>
        <v/>
      </c>
      <c r="V10" t="str">
        <f>IF(問題シート!K20="","",問題シート!K20)</f>
        <v/>
      </c>
      <c r="W10" t="str">
        <f>IF(問題シート!L20="","",問題シート!L20)</f>
        <v/>
      </c>
      <c r="X10" t="str">
        <f>IF(問題シート!M20="","",問題シート!M20)</f>
        <v/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答え記入シート</vt:lpstr>
      <vt:lpstr>問題シート</vt:lpstr>
      <vt:lpstr>操作シート</vt:lpstr>
      <vt:lpstr>mondai</vt:lpstr>
      <vt:lpstr>答え記入シート!Print_Area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一家 中尾</cp:lastModifiedBy>
  <cp:lastPrinted>2024-03-23T22:39:52Z</cp:lastPrinted>
  <dcterms:created xsi:type="dcterms:W3CDTF">2021-01-20T23:58:41Z</dcterms:created>
  <dcterms:modified xsi:type="dcterms:W3CDTF">2024-03-23T23:08:43Z</dcterms:modified>
</cp:coreProperties>
</file>