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教材\完成教材（1，読み書き）\８，漢字読み書き教材\光村漢字ワーク\3年生\"/>
    </mc:Choice>
  </mc:AlternateContent>
  <bookViews>
    <workbookView xWindow="3075" yWindow="135" windowWidth="25290" windowHeight="15465"/>
  </bookViews>
  <sheets>
    <sheet name="印刷シート" sheetId="2" r:id="rId1"/>
    <sheet name="問題文入力シート" sheetId="15" r:id="rId2"/>
    <sheet name="マスク" sheetId="13" r:id="rId3"/>
  </sheets>
  <definedNames>
    <definedName name="big">マスク!$C$2</definedName>
    <definedName name="bigun">マスク!$C$6:$H$6</definedName>
    <definedName name="full">マスク!$C$1</definedName>
    <definedName name="fullun">マスク!$C$5:$H$5</definedName>
    <definedName name="list">問題文入力シート!$R$39:$AO$48</definedName>
    <definedName name="mask">マスク!$A$1:$B$7</definedName>
    <definedName name="mondai_1">INDIRECT(印刷シート!$EO$1)</definedName>
    <definedName name="mondai_10">INDIRECT(印刷シート!#REF!)</definedName>
    <definedName name="mondai_2">INDIRECT(印刷シート!#REF!)</definedName>
    <definedName name="mondai_3">INDIRECT(印刷シート!#REF!)</definedName>
    <definedName name="mondai_4">INDIRECT(印刷シート!#REF!)</definedName>
    <definedName name="mondai_5">INDIRECT(印刷シート!#REF!)</definedName>
    <definedName name="mondai_6">INDIRECT(印刷シート!#REF!)</definedName>
    <definedName name="mondai_7">INDIRECT(印刷シート!#REF!)</definedName>
    <definedName name="mondai_8">INDIRECT(印刷シート!#REF!)</definedName>
    <definedName name="mondai_9">INDIRECT(印刷シート!#REF!)</definedName>
    <definedName name="no">マスク!$C$4</definedName>
    <definedName name="_xlnm.Print_Area" localSheetId="0">印刷シート!$A$4:$CP$15</definedName>
    <definedName name="small">マスク!$C$3</definedName>
    <definedName name="smallun">マスク!$C$7:$H$7</definedName>
  </definedNames>
  <calcPr calcId="152511"/>
</workbook>
</file>

<file path=xl/calcChain.xml><?xml version="1.0" encoding="utf-8"?>
<calcChain xmlns="http://schemas.openxmlformats.org/spreadsheetml/2006/main">
  <c r="EO1" i="2" l="1"/>
  <c r="BU4" i="2" l="1"/>
  <c r="BO4" i="2"/>
  <c r="AD48" i="15" l="1"/>
  <c r="AC48" i="15"/>
  <c r="AB48" i="15"/>
  <c r="AA48" i="15"/>
  <c r="Z48" i="15"/>
  <c r="Y48" i="15"/>
  <c r="X48" i="15"/>
  <c r="W48" i="15"/>
  <c r="V48" i="15"/>
  <c r="U48" i="15"/>
  <c r="T48" i="15"/>
  <c r="S48" i="15"/>
  <c r="Q48" i="15"/>
  <c r="AD47" i="15"/>
  <c r="AC47" i="15"/>
  <c r="AB47" i="15"/>
  <c r="AA47" i="15"/>
  <c r="Z47" i="15"/>
  <c r="Y47" i="15"/>
  <c r="X47" i="15"/>
  <c r="W47" i="15"/>
  <c r="V47" i="15"/>
  <c r="U47" i="15"/>
  <c r="T47" i="15"/>
  <c r="S47" i="15"/>
  <c r="Q47" i="15"/>
  <c r="AD46" i="15"/>
  <c r="AC46" i="15"/>
  <c r="AB46" i="15"/>
  <c r="AA46" i="15"/>
  <c r="Z46" i="15"/>
  <c r="Y46" i="15"/>
  <c r="X46" i="15"/>
  <c r="W46" i="15"/>
  <c r="V46" i="15"/>
  <c r="U46" i="15"/>
  <c r="T46" i="15"/>
  <c r="S46" i="15"/>
  <c r="Q46" i="15"/>
  <c r="AD45" i="15"/>
  <c r="AC45" i="15"/>
  <c r="AB45" i="15"/>
  <c r="AA45" i="15"/>
  <c r="Z45" i="15"/>
  <c r="Y45" i="15"/>
  <c r="X45" i="15"/>
  <c r="W45" i="15"/>
  <c r="V45" i="15"/>
  <c r="U45" i="15"/>
  <c r="T45" i="15"/>
  <c r="S45" i="15"/>
  <c r="Q45" i="15"/>
  <c r="AD44" i="15"/>
  <c r="AC44" i="15"/>
  <c r="AB44" i="15"/>
  <c r="AA44" i="15"/>
  <c r="Z44" i="15"/>
  <c r="Y44" i="15"/>
  <c r="X44" i="15"/>
  <c r="W44" i="15"/>
  <c r="V44" i="15"/>
  <c r="U44" i="15"/>
  <c r="T44" i="15"/>
  <c r="S44" i="15"/>
  <c r="Q44" i="15"/>
  <c r="AD43" i="15"/>
  <c r="AC43" i="15"/>
  <c r="AB43" i="15"/>
  <c r="AA43" i="15"/>
  <c r="Z43" i="15"/>
  <c r="Y43" i="15"/>
  <c r="X43" i="15"/>
  <c r="W43" i="15"/>
  <c r="V43" i="15"/>
  <c r="U43" i="15"/>
  <c r="T43" i="15"/>
  <c r="S43" i="15"/>
  <c r="Q43" i="15"/>
  <c r="AD42" i="15"/>
  <c r="AC42" i="15"/>
  <c r="AB42" i="15"/>
  <c r="AA42" i="15"/>
  <c r="Z42" i="15"/>
  <c r="Y42" i="15"/>
  <c r="X42" i="15"/>
  <c r="W42" i="15"/>
  <c r="V42" i="15"/>
  <c r="U42" i="15"/>
  <c r="T42" i="15"/>
  <c r="S42" i="15"/>
  <c r="Q42" i="15"/>
  <c r="AD41" i="15"/>
  <c r="AC41" i="15"/>
  <c r="AB41" i="15"/>
  <c r="AA41" i="15"/>
  <c r="Z41" i="15"/>
  <c r="Y41" i="15"/>
  <c r="X41" i="15"/>
  <c r="W41" i="15"/>
  <c r="V41" i="15"/>
  <c r="U41" i="15"/>
  <c r="T41" i="15"/>
  <c r="S41" i="15"/>
  <c r="Q41" i="15"/>
  <c r="AD40" i="15"/>
  <c r="AC40" i="15"/>
  <c r="AB40" i="15"/>
  <c r="AA40" i="15"/>
  <c r="Z40" i="15"/>
  <c r="Y40" i="15"/>
  <c r="X40" i="15"/>
  <c r="W40" i="15"/>
  <c r="V40" i="15"/>
  <c r="U40" i="15"/>
  <c r="T40" i="15"/>
  <c r="S40" i="15"/>
  <c r="Q40" i="15"/>
  <c r="AD39" i="15"/>
  <c r="AC39" i="15"/>
  <c r="AB39" i="15"/>
  <c r="AA39" i="15"/>
  <c r="Z39" i="15"/>
  <c r="Y39" i="15"/>
  <c r="X39" i="15"/>
  <c r="W39" i="15"/>
  <c r="V39" i="15"/>
  <c r="U39" i="15"/>
  <c r="T39" i="15"/>
  <c r="S39" i="15"/>
  <c r="Q39" i="15"/>
  <c r="P24" i="15"/>
  <c r="AO48" i="15" s="1"/>
  <c r="O24" i="15"/>
  <c r="AN48" i="15" s="1"/>
  <c r="N24" i="15"/>
  <c r="AM48" i="15" s="1"/>
  <c r="M24" i="15"/>
  <c r="AL48" i="15" s="1"/>
  <c r="L24" i="15"/>
  <c r="AK48" i="15" s="1"/>
  <c r="K24" i="15"/>
  <c r="AJ48" i="15" s="1"/>
  <c r="J24" i="15"/>
  <c r="AI48" i="15" s="1"/>
  <c r="I24" i="15"/>
  <c r="AH48" i="15" s="1"/>
  <c r="H24" i="15"/>
  <c r="AG48" i="15" s="1"/>
  <c r="G24" i="15"/>
  <c r="AF48" i="15" s="1"/>
  <c r="F24" i="15"/>
  <c r="AE48" i="15" s="1"/>
  <c r="E24" i="15"/>
  <c r="P22" i="15"/>
  <c r="AO47" i="15" s="1"/>
  <c r="O22" i="15"/>
  <c r="AN47" i="15" s="1"/>
  <c r="N22" i="15"/>
  <c r="AM47" i="15" s="1"/>
  <c r="M22" i="15"/>
  <c r="AL47" i="15" s="1"/>
  <c r="L22" i="15"/>
  <c r="AK47" i="15" s="1"/>
  <c r="K22" i="15"/>
  <c r="AJ47" i="15" s="1"/>
  <c r="J22" i="15"/>
  <c r="AI47" i="15" s="1"/>
  <c r="I22" i="15"/>
  <c r="AH47" i="15" s="1"/>
  <c r="H22" i="15"/>
  <c r="AG47" i="15" s="1"/>
  <c r="G22" i="15"/>
  <c r="AF47" i="15" s="1"/>
  <c r="F22" i="15"/>
  <c r="AE47" i="15" s="1"/>
  <c r="E22" i="15"/>
  <c r="P20" i="15"/>
  <c r="AO46" i="15" s="1"/>
  <c r="O20" i="15"/>
  <c r="AN46" i="15" s="1"/>
  <c r="N20" i="15"/>
  <c r="AM46" i="15" s="1"/>
  <c r="M20" i="15"/>
  <c r="AL46" i="15" s="1"/>
  <c r="L20" i="15"/>
  <c r="AK46" i="15" s="1"/>
  <c r="K20" i="15"/>
  <c r="AJ46" i="15" s="1"/>
  <c r="J20" i="15"/>
  <c r="AI46" i="15" s="1"/>
  <c r="I20" i="15"/>
  <c r="AH46" i="15" s="1"/>
  <c r="H20" i="15"/>
  <c r="AG46" i="15" s="1"/>
  <c r="G20" i="15"/>
  <c r="AF46" i="15" s="1"/>
  <c r="F20" i="15"/>
  <c r="AE46" i="15" s="1"/>
  <c r="E20" i="15"/>
  <c r="P18" i="15"/>
  <c r="AO45" i="15" s="1"/>
  <c r="O18" i="15"/>
  <c r="AN45" i="15" s="1"/>
  <c r="N18" i="15"/>
  <c r="AM45" i="15" s="1"/>
  <c r="M18" i="15"/>
  <c r="AL45" i="15" s="1"/>
  <c r="L18" i="15"/>
  <c r="AK45" i="15" s="1"/>
  <c r="K18" i="15"/>
  <c r="AJ45" i="15" s="1"/>
  <c r="J18" i="15"/>
  <c r="AI45" i="15" s="1"/>
  <c r="I18" i="15"/>
  <c r="AH45" i="15" s="1"/>
  <c r="H18" i="15"/>
  <c r="AG45" i="15" s="1"/>
  <c r="G18" i="15"/>
  <c r="AF45" i="15" s="1"/>
  <c r="F18" i="15"/>
  <c r="AE45" i="15" s="1"/>
  <c r="E18" i="15"/>
  <c r="P16" i="15"/>
  <c r="AO44" i="15" s="1"/>
  <c r="O16" i="15"/>
  <c r="AN44" i="15" s="1"/>
  <c r="N16" i="15"/>
  <c r="AM44" i="15" s="1"/>
  <c r="M16" i="15"/>
  <c r="AL44" i="15" s="1"/>
  <c r="L16" i="15"/>
  <c r="AK44" i="15" s="1"/>
  <c r="K16" i="15"/>
  <c r="AJ44" i="15" s="1"/>
  <c r="J16" i="15"/>
  <c r="AI44" i="15" s="1"/>
  <c r="I16" i="15"/>
  <c r="AH44" i="15" s="1"/>
  <c r="H16" i="15"/>
  <c r="AG44" i="15" s="1"/>
  <c r="G16" i="15"/>
  <c r="AF44" i="15" s="1"/>
  <c r="F16" i="15"/>
  <c r="AE44" i="15" s="1"/>
  <c r="E16" i="15"/>
  <c r="P14" i="15"/>
  <c r="AO43" i="15" s="1"/>
  <c r="O14" i="15"/>
  <c r="AN43" i="15" s="1"/>
  <c r="N14" i="15"/>
  <c r="AM43" i="15" s="1"/>
  <c r="M14" i="15"/>
  <c r="AL43" i="15" s="1"/>
  <c r="L14" i="15"/>
  <c r="AK43" i="15" s="1"/>
  <c r="K14" i="15"/>
  <c r="AJ43" i="15" s="1"/>
  <c r="J14" i="15"/>
  <c r="AI43" i="15" s="1"/>
  <c r="I14" i="15"/>
  <c r="AH43" i="15" s="1"/>
  <c r="H14" i="15"/>
  <c r="AG43" i="15" s="1"/>
  <c r="G14" i="15"/>
  <c r="AF43" i="15" s="1"/>
  <c r="F14" i="15"/>
  <c r="AE43" i="15" s="1"/>
  <c r="E14" i="15"/>
  <c r="P12" i="15"/>
  <c r="AO42" i="15" s="1"/>
  <c r="O12" i="15"/>
  <c r="AN42" i="15" s="1"/>
  <c r="N12" i="15"/>
  <c r="AM42" i="15" s="1"/>
  <c r="M12" i="15"/>
  <c r="AL42" i="15" s="1"/>
  <c r="L12" i="15"/>
  <c r="AK42" i="15" s="1"/>
  <c r="K12" i="15"/>
  <c r="AJ42" i="15" s="1"/>
  <c r="J12" i="15"/>
  <c r="AI42" i="15" s="1"/>
  <c r="I12" i="15"/>
  <c r="AH42" i="15" s="1"/>
  <c r="H12" i="15"/>
  <c r="AG42" i="15" s="1"/>
  <c r="G12" i="15"/>
  <c r="AF42" i="15" s="1"/>
  <c r="F12" i="15"/>
  <c r="AE42" i="15" s="1"/>
  <c r="E12" i="15"/>
  <c r="P10" i="15"/>
  <c r="AO41" i="15" s="1"/>
  <c r="O10" i="15"/>
  <c r="AN41" i="15" s="1"/>
  <c r="N10" i="15"/>
  <c r="AM41" i="15" s="1"/>
  <c r="M10" i="15"/>
  <c r="AL41" i="15" s="1"/>
  <c r="L10" i="15"/>
  <c r="AK41" i="15" s="1"/>
  <c r="K10" i="15"/>
  <c r="AJ41" i="15" s="1"/>
  <c r="J10" i="15"/>
  <c r="AI41" i="15" s="1"/>
  <c r="I10" i="15"/>
  <c r="AH41" i="15" s="1"/>
  <c r="H10" i="15"/>
  <c r="AG41" i="15" s="1"/>
  <c r="G10" i="15"/>
  <c r="AF41" i="15" s="1"/>
  <c r="F10" i="15"/>
  <c r="AE41" i="15" s="1"/>
  <c r="E10" i="15"/>
  <c r="P8" i="15"/>
  <c r="AO40" i="15" s="1"/>
  <c r="O8" i="15"/>
  <c r="AN40" i="15" s="1"/>
  <c r="N8" i="15"/>
  <c r="AM40" i="15" s="1"/>
  <c r="M8" i="15"/>
  <c r="AL40" i="15" s="1"/>
  <c r="L8" i="15"/>
  <c r="AK40" i="15" s="1"/>
  <c r="K8" i="15"/>
  <c r="AJ40" i="15" s="1"/>
  <c r="J8" i="15"/>
  <c r="AI40" i="15" s="1"/>
  <c r="I8" i="15"/>
  <c r="AH40" i="15" s="1"/>
  <c r="H8" i="15"/>
  <c r="AG40" i="15" s="1"/>
  <c r="G8" i="15"/>
  <c r="AF40" i="15" s="1"/>
  <c r="F8" i="15"/>
  <c r="AE40" i="15" s="1"/>
  <c r="E8" i="15"/>
  <c r="P6" i="15"/>
  <c r="AO39" i="15" s="1"/>
  <c r="O6" i="15"/>
  <c r="AN39" i="15" s="1"/>
  <c r="N6" i="15"/>
  <c r="AM39" i="15" s="1"/>
  <c r="M6" i="15"/>
  <c r="AL39" i="15" s="1"/>
  <c r="L6" i="15"/>
  <c r="AK39" i="15" s="1"/>
  <c r="K6" i="15"/>
  <c r="AJ39" i="15" s="1"/>
  <c r="J6" i="15"/>
  <c r="AI39" i="15" s="1"/>
  <c r="I6" i="15"/>
  <c r="AH39" i="15" s="1"/>
  <c r="H6" i="15"/>
  <c r="AG39" i="15" s="1"/>
  <c r="G6" i="15"/>
  <c r="AF39" i="15" s="1"/>
  <c r="F6" i="15"/>
  <c r="AE39" i="15" s="1"/>
  <c r="E6" i="15"/>
  <c r="CG4" i="2"/>
  <c r="CA4" i="2"/>
  <c r="BI4" i="2"/>
  <c r="BC4" i="2"/>
  <c r="AW4" i="2"/>
  <c r="AQ4" i="2"/>
  <c r="AK4" i="2"/>
  <c r="AE4" i="2"/>
  <c r="Y4" i="2"/>
  <c r="S4" i="2"/>
  <c r="M4" i="2"/>
  <c r="G4" i="2"/>
  <c r="A4" i="2"/>
  <c r="R47" i="15" l="1"/>
  <c r="R48" i="15"/>
  <c r="R43" i="15"/>
  <c r="R42" i="15"/>
  <c r="R40" i="15"/>
  <c r="R39" i="15"/>
  <c r="R41" i="15"/>
  <c r="R44" i="15"/>
  <c r="R45" i="15"/>
  <c r="R46" i="15"/>
  <c r="CD9" i="2" l="1"/>
  <c r="CD8" i="2"/>
  <c r="CD10" i="2"/>
  <c r="CD11" i="2"/>
  <c r="CD7" i="2"/>
  <c r="CI12" i="2"/>
  <c r="CI10" i="2"/>
  <c r="O10" i="2"/>
  <c r="AG9" i="2"/>
  <c r="O8" i="2"/>
  <c r="AG7" i="2"/>
  <c r="AY6" i="2"/>
  <c r="BQ5" i="2"/>
  <c r="BL13" i="2"/>
  <c r="BL11" i="2"/>
  <c r="AB9" i="2"/>
  <c r="CD6" i="2"/>
  <c r="BZ8" i="2"/>
  <c r="AP6" i="2"/>
  <c r="BH15" i="2"/>
  <c r="X15" i="2"/>
  <c r="BZ14" i="2"/>
  <c r="AP14" i="2"/>
  <c r="F14" i="2"/>
  <c r="BH13" i="2"/>
  <c r="X13" i="2"/>
  <c r="BZ12" i="2"/>
  <c r="AP12" i="2"/>
  <c r="F12" i="2"/>
  <c r="BH11" i="2"/>
  <c r="X11" i="2"/>
  <c r="BZ10" i="2"/>
  <c r="AP10" i="2"/>
  <c r="F10" i="2"/>
  <c r="BH7" i="2"/>
  <c r="BH5" i="2"/>
  <c r="BC15" i="2"/>
  <c r="S15" i="2"/>
  <c r="BU14" i="2"/>
  <c r="AK14" i="2"/>
  <c r="A14" i="2"/>
  <c r="BC13" i="2"/>
  <c r="S13" i="2"/>
  <c r="BU12" i="2"/>
  <c r="AK12" i="2"/>
  <c r="A12" i="2"/>
  <c r="BC11" i="2"/>
  <c r="S11" i="2"/>
  <c r="BU10" i="2"/>
  <c r="AK10" i="2"/>
  <c r="A10" i="2"/>
  <c r="BC9" i="2"/>
  <c r="S9" i="2"/>
  <c r="BU8" i="2"/>
  <c r="AK8" i="2"/>
  <c r="A8" i="2"/>
  <c r="BC7" i="2"/>
  <c r="S7" i="2"/>
  <c r="BU6" i="2"/>
  <c r="AK6" i="2"/>
  <c r="A6" i="2"/>
  <c r="BC5" i="2"/>
  <c r="S5" i="2"/>
  <c r="AT14" i="2"/>
  <c r="AT12" i="2"/>
  <c r="AT10" i="2"/>
  <c r="AT8" i="2"/>
  <c r="AB7" i="2"/>
  <c r="AB5" i="2"/>
  <c r="F8" i="2"/>
  <c r="X5" i="2"/>
  <c r="CI15" i="2"/>
  <c r="AY15" i="2"/>
  <c r="O15" i="2"/>
  <c r="BQ14" i="2"/>
  <c r="AG14" i="2"/>
  <c r="CI13" i="2"/>
  <c r="AY13" i="2"/>
  <c r="O13" i="2"/>
  <c r="BQ12" i="2"/>
  <c r="AG12" i="2"/>
  <c r="CI11" i="2"/>
  <c r="AY11" i="2"/>
  <c r="O11" i="2"/>
  <c r="BQ10" i="2"/>
  <c r="AG10" i="2"/>
  <c r="CI9" i="2"/>
  <c r="AY9" i="2"/>
  <c r="O9" i="2"/>
  <c r="BQ8" i="2"/>
  <c r="AG8" i="2"/>
  <c r="CI7" i="2"/>
  <c r="AY7" i="2"/>
  <c r="O7" i="2"/>
  <c r="BQ6" i="2"/>
  <c r="AG6" i="2"/>
  <c r="CI5" i="2"/>
  <c r="AY5" i="2"/>
  <c r="O5" i="2"/>
  <c r="F13" i="2"/>
  <c r="BZ11" i="2"/>
  <c r="BH10" i="2"/>
  <c r="AP9" i="2"/>
  <c r="X8" i="2"/>
  <c r="F7" i="2"/>
  <c r="BZ5" i="2"/>
  <c r="AB15" i="2"/>
  <c r="CD12" i="2"/>
  <c r="AT6" i="2"/>
  <c r="X9" i="2"/>
  <c r="BZ6" i="2"/>
  <c r="CD15" i="2"/>
  <c r="AT15" i="2"/>
  <c r="J15" i="2"/>
  <c r="BL14" i="2"/>
  <c r="AB14" i="2"/>
  <c r="CD13" i="2"/>
  <c r="AT13" i="2"/>
  <c r="J13" i="2"/>
  <c r="BL12" i="2"/>
  <c r="AB12" i="2"/>
  <c r="AT11" i="2"/>
  <c r="J11" i="2"/>
  <c r="BL10" i="2"/>
  <c r="AB10" i="2"/>
  <c r="AT9" i="2"/>
  <c r="J9" i="2"/>
  <c r="BL8" i="2"/>
  <c r="AB8" i="2"/>
  <c r="AT7" i="2"/>
  <c r="J7" i="2"/>
  <c r="BL6" i="2"/>
  <c r="AB6" i="2"/>
  <c r="CD5" i="2"/>
  <c r="AT5" i="2"/>
  <c r="J5" i="2"/>
  <c r="BZ15" i="2"/>
  <c r="AP15" i="2"/>
  <c r="F15" i="2"/>
  <c r="BH14" i="2"/>
  <c r="BZ13" i="2"/>
  <c r="AP13" i="2"/>
  <c r="BH12" i="2"/>
  <c r="AP11" i="2"/>
  <c r="X10" i="2"/>
  <c r="F9" i="2"/>
  <c r="BZ7" i="2"/>
  <c r="BH6" i="2"/>
  <c r="AP5" i="2"/>
  <c r="BL15" i="2"/>
  <c r="AB13" i="2"/>
  <c r="AB11" i="2"/>
  <c r="BL9" i="2"/>
  <c r="BL7" i="2"/>
  <c r="BL5" i="2"/>
  <c r="AP8" i="2"/>
  <c r="F6" i="2"/>
  <c r="X14" i="2"/>
  <c r="X12" i="2"/>
  <c r="F11" i="2"/>
  <c r="BZ9" i="2"/>
  <c r="BH8" i="2"/>
  <c r="AP7" i="2"/>
  <c r="X6" i="2"/>
  <c r="F5" i="2"/>
  <c r="BU15" i="2"/>
  <c r="AK15" i="2"/>
  <c r="A15" i="2"/>
  <c r="BC14" i="2"/>
  <c r="S14" i="2"/>
  <c r="BU13" i="2"/>
  <c r="AK13" i="2"/>
  <c r="A13" i="2"/>
  <c r="BC12" i="2"/>
  <c r="S12" i="2"/>
  <c r="BU11" i="2"/>
  <c r="AK11" i="2"/>
  <c r="A11" i="2"/>
  <c r="BC10" i="2"/>
  <c r="S10" i="2"/>
  <c r="BU9" i="2"/>
  <c r="AK9" i="2"/>
  <c r="A9" i="2"/>
  <c r="BC8" i="2"/>
  <c r="S8" i="2"/>
  <c r="BU7" i="2"/>
  <c r="AK7" i="2"/>
  <c r="A7" i="2"/>
  <c r="BC6" i="2"/>
  <c r="S6" i="2"/>
  <c r="BU5" i="2"/>
  <c r="AK5" i="2"/>
  <c r="A5" i="2"/>
  <c r="BQ15" i="2"/>
  <c r="AG15" i="2"/>
  <c r="CI14" i="2"/>
  <c r="AY14" i="2"/>
  <c r="O14" i="2"/>
  <c r="BQ13" i="2"/>
  <c r="AG13" i="2"/>
  <c r="AY12" i="2"/>
  <c r="O12" i="2"/>
  <c r="BQ11" i="2"/>
  <c r="AG11" i="2"/>
  <c r="AY10" i="2"/>
  <c r="BQ9" i="2"/>
  <c r="CI8" i="2"/>
  <c r="AY8" i="2"/>
  <c r="BQ7" i="2"/>
  <c r="CI6" i="2"/>
  <c r="O6" i="2"/>
  <c r="AG5" i="2"/>
  <c r="CD14" i="2"/>
  <c r="J14" i="2"/>
  <c r="J12" i="2"/>
  <c r="J10" i="2"/>
  <c r="J8" i="2"/>
  <c r="J6" i="2"/>
  <c r="BH9" i="2"/>
  <c r="X7" i="2"/>
</calcChain>
</file>

<file path=xl/sharedStrings.xml><?xml version="1.0" encoding="utf-8"?>
<sst xmlns="http://schemas.openxmlformats.org/spreadsheetml/2006/main" count="88" uniqueCount="87">
  <si>
    <t>なまえ</t>
    <phoneticPr fontId="1"/>
  </si>
  <si>
    <t>漢字</t>
    <rPh sb="0" eb="2">
      <t>カンジ</t>
    </rPh>
    <phoneticPr fontId="1"/>
  </si>
  <si>
    <t>かんじを　いれよう</t>
    <phoneticPr fontId="1"/>
  </si>
  <si>
    <t>並び替え</t>
    <rPh sb="0" eb="1">
      <t>ナラ</t>
    </rPh>
    <rPh sb="2" eb="3">
      <t>カ</t>
    </rPh>
    <phoneticPr fontId="1"/>
  </si>
  <si>
    <t>する</t>
  </si>
  <si>
    <t>文字色</t>
    <rPh sb="0" eb="3">
      <t>モジイロ</t>
    </rPh>
    <phoneticPr fontId="1"/>
  </si>
  <si>
    <t>隠しサイズ</t>
    <rPh sb="0" eb="1">
      <t>カク</t>
    </rPh>
    <phoneticPr fontId="1"/>
  </si>
  <si>
    <t>問題文</t>
    <rPh sb="0" eb="3">
      <t>モンダイブン</t>
    </rPh>
    <phoneticPr fontId="1"/>
  </si>
  <si>
    <t>入れない</t>
  </si>
  <si>
    <t>ふりがな</t>
    <phoneticPr fontId="1"/>
  </si>
  <si>
    <t>出題したい漢字（15文字まで）</t>
    <rPh sb="0" eb="2">
      <t>シュツダイ</t>
    </rPh>
    <rPh sb="5" eb="7">
      <t>カンジ</t>
    </rPh>
    <rPh sb="10" eb="12">
      <t>モジ</t>
    </rPh>
    <phoneticPr fontId="1"/>
  </si>
  <si>
    <t>文字数</t>
    <rPh sb="0" eb="3">
      <t>モジスウ</t>
    </rPh>
    <phoneticPr fontId="1"/>
  </si>
  <si>
    <t>全部</t>
    <rPh sb="0" eb="2">
      <t>ゼンブ</t>
    </rPh>
    <phoneticPr fontId="1"/>
  </si>
  <si>
    <t>full</t>
    <phoneticPr fontId="1"/>
  </si>
  <si>
    <t>大〇</t>
    <rPh sb="0" eb="1">
      <t>ダイ</t>
    </rPh>
    <phoneticPr fontId="1"/>
  </si>
  <si>
    <t>big</t>
    <phoneticPr fontId="1"/>
  </si>
  <si>
    <t>小〇</t>
    <rPh sb="0" eb="1">
      <t>ショウ</t>
    </rPh>
    <phoneticPr fontId="1"/>
  </si>
  <si>
    <t>small</t>
    <phoneticPr fontId="1"/>
  </si>
  <si>
    <t>なし</t>
    <phoneticPr fontId="1"/>
  </si>
  <si>
    <t>no</t>
    <phoneticPr fontId="1"/>
  </si>
  <si>
    <t>特大うんち</t>
    <rPh sb="0" eb="2">
      <t>トクダイ</t>
    </rPh>
    <phoneticPr fontId="1"/>
  </si>
  <si>
    <t>fullun</t>
    <phoneticPr fontId="1"/>
  </si>
  <si>
    <t>大うんち</t>
    <rPh sb="0" eb="1">
      <t>ダイ</t>
    </rPh>
    <phoneticPr fontId="1"/>
  </si>
  <si>
    <t>bigun</t>
    <phoneticPr fontId="1"/>
  </si>
  <si>
    <t>小うんち</t>
    <rPh sb="0" eb="1">
      <t>ショウ</t>
    </rPh>
    <phoneticPr fontId="1"/>
  </si>
  <si>
    <t>smallun</t>
    <phoneticPr fontId="1"/>
  </si>
  <si>
    <t>入れる</t>
  </si>
  <si>
    <t>なぞり文字</t>
  </si>
  <si>
    <t>なし</t>
  </si>
  <si>
    <t>放</t>
    <rPh sb="0" eb="1">
      <t>ホウ</t>
    </rPh>
    <phoneticPr fontId="1"/>
  </si>
  <si>
    <t>速</t>
    <rPh sb="0" eb="1">
      <t>ソク</t>
    </rPh>
    <phoneticPr fontId="1"/>
  </si>
  <si>
    <t>神</t>
    <rPh sb="0" eb="1">
      <t>カミ</t>
    </rPh>
    <phoneticPr fontId="1"/>
  </si>
  <si>
    <t>箱</t>
    <rPh sb="0" eb="1">
      <t>ハコ</t>
    </rPh>
    <phoneticPr fontId="1"/>
  </si>
  <si>
    <t>湯</t>
    <rPh sb="0" eb="1">
      <t>ユ</t>
    </rPh>
    <phoneticPr fontId="1"/>
  </si>
  <si>
    <t>山の神様を祭った神社</t>
    <rPh sb="0" eb="1">
      <t>ヤマ</t>
    </rPh>
    <rPh sb="2" eb="4">
      <t>カミサマ</t>
    </rPh>
    <rPh sb="5" eb="6">
      <t>マツ</t>
    </rPh>
    <rPh sb="8" eb="10">
      <t>ジンジャ</t>
    </rPh>
    <phoneticPr fontId="1"/>
  </si>
  <si>
    <t>カップにねっ湯を注ぐ</t>
    <rPh sb="6" eb="7">
      <t>ユ</t>
    </rPh>
    <rPh sb="8" eb="9">
      <t>ソソ</t>
    </rPh>
    <phoneticPr fontId="1"/>
  </si>
  <si>
    <t>せん湯のあらい場</t>
    <rPh sb="2" eb="3">
      <t>ユ</t>
    </rPh>
    <rPh sb="7" eb="8">
      <t>バ</t>
    </rPh>
    <phoneticPr fontId="1"/>
  </si>
  <si>
    <t>医者が薬箱を持ってくる</t>
    <rPh sb="0" eb="2">
      <t>イシャ</t>
    </rPh>
    <rPh sb="3" eb="5">
      <t>クスリバコ</t>
    </rPh>
    <rPh sb="6" eb="7">
      <t>モ</t>
    </rPh>
    <phoneticPr fontId="1"/>
  </si>
  <si>
    <t>放か後に友だちと遊ぶ</t>
    <rPh sb="0" eb="1">
      <t>ホウ</t>
    </rPh>
    <rPh sb="2" eb="3">
      <t>アト</t>
    </rPh>
    <rPh sb="4" eb="5">
      <t>トモ</t>
    </rPh>
    <rPh sb="8" eb="9">
      <t>アソ</t>
    </rPh>
    <phoneticPr fontId="1"/>
  </si>
  <si>
    <t>ギリシャ神話</t>
    <rPh sb="4" eb="6">
      <t>シンワ</t>
    </rPh>
    <phoneticPr fontId="1"/>
  </si>
  <si>
    <t>湖に魚を放す</t>
    <rPh sb="0" eb="1">
      <t>ミズウミ</t>
    </rPh>
    <rPh sb="2" eb="3">
      <t>サカナ</t>
    </rPh>
    <rPh sb="4" eb="5">
      <t>ハナ</t>
    </rPh>
    <phoneticPr fontId="1"/>
  </si>
  <si>
    <t>全校放送をする</t>
    <rPh sb="0" eb="4">
      <t>ゼンコウホウソウ</t>
    </rPh>
    <phoneticPr fontId="1"/>
  </si>
  <si>
    <t>車の速度をはかる</t>
    <rPh sb="0" eb="1">
      <t>クルマ</t>
    </rPh>
    <rPh sb="2" eb="4">
      <t>ソクド</t>
    </rPh>
    <phoneticPr fontId="1"/>
  </si>
  <si>
    <t>本を読む速さ</t>
    <rPh sb="0" eb="1">
      <t>ホン</t>
    </rPh>
    <rPh sb="2" eb="3">
      <t>ヨ</t>
    </rPh>
    <rPh sb="4" eb="5">
      <t>ハヤ</t>
    </rPh>
    <phoneticPr fontId="1"/>
  </si>
  <si>
    <t>ぜん</t>
    <phoneticPr fontId="1"/>
  </si>
  <si>
    <t>こう</t>
    <phoneticPr fontId="1"/>
  </si>
  <si>
    <t>ほう</t>
    <phoneticPr fontId="1"/>
  </si>
  <si>
    <t>そう</t>
    <phoneticPr fontId="1"/>
  </si>
  <si>
    <t>ほん</t>
    <phoneticPr fontId="1"/>
  </si>
  <si>
    <t>よ</t>
    <phoneticPr fontId="1"/>
  </si>
  <si>
    <t>はや</t>
    <phoneticPr fontId="1"/>
  </si>
  <si>
    <t>くるま</t>
    <phoneticPr fontId="1"/>
  </si>
  <si>
    <t>そく</t>
    <phoneticPr fontId="1"/>
  </si>
  <si>
    <t>ど</t>
    <phoneticPr fontId="1"/>
  </si>
  <si>
    <t>みずうみ</t>
    <phoneticPr fontId="1"/>
  </si>
  <si>
    <t>さかな</t>
    <phoneticPr fontId="1"/>
  </si>
  <si>
    <t>はな</t>
    <phoneticPr fontId="1"/>
  </si>
  <si>
    <t>しん</t>
    <phoneticPr fontId="1"/>
  </si>
  <si>
    <t>わ</t>
    <phoneticPr fontId="1"/>
  </si>
  <si>
    <t>ほう</t>
    <phoneticPr fontId="1"/>
  </si>
  <si>
    <t>ご</t>
    <phoneticPr fontId="1"/>
  </si>
  <si>
    <t>とも</t>
    <phoneticPr fontId="1"/>
  </si>
  <si>
    <t>あそ</t>
    <phoneticPr fontId="1"/>
  </si>
  <si>
    <t>い</t>
    <phoneticPr fontId="1"/>
  </si>
  <si>
    <t>しゃ</t>
    <phoneticPr fontId="1"/>
  </si>
  <si>
    <t>くすり</t>
    <phoneticPr fontId="1"/>
  </si>
  <si>
    <t>ばこ</t>
    <phoneticPr fontId="1"/>
  </si>
  <si>
    <t>も</t>
    <phoneticPr fontId="1"/>
  </si>
  <si>
    <t>とう</t>
    <phoneticPr fontId="1"/>
  </si>
  <si>
    <t>ば</t>
    <phoneticPr fontId="1"/>
  </si>
  <si>
    <t>そそ</t>
    <phoneticPr fontId="1"/>
  </si>
  <si>
    <t>やま</t>
    <phoneticPr fontId="1"/>
  </si>
  <si>
    <t>かみ</t>
    <phoneticPr fontId="1"/>
  </si>
  <si>
    <t>さま</t>
    <phoneticPr fontId="1"/>
  </si>
  <si>
    <t>まつ</t>
    <phoneticPr fontId="1"/>
  </si>
  <si>
    <t>じん</t>
    <phoneticPr fontId="1"/>
  </si>
  <si>
    <t>じゃ</t>
    <phoneticPr fontId="1"/>
  </si>
  <si>
    <t>場</t>
    <rPh sb="0" eb="1">
      <t>バ</t>
    </rPh>
    <phoneticPr fontId="1"/>
  </si>
  <si>
    <t>薬</t>
    <rPh sb="0" eb="1">
      <t>クスリ</t>
    </rPh>
    <phoneticPr fontId="1"/>
  </si>
  <si>
    <t>送</t>
    <rPh sb="0" eb="1">
      <t>オク</t>
    </rPh>
    <phoneticPr fontId="1"/>
  </si>
  <si>
    <t>様</t>
    <rPh sb="0" eb="1">
      <t>サマ</t>
    </rPh>
    <phoneticPr fontId="1"/>
  </si>
  <si>
    <t>話</t>
    <rPh sb="0" eb="1">
      <t>ハナシ</t>
    </rPh>
    <phoneticPr fontId="1"/>
  </si>
  <si>
    <t>社</t>
    <rPh sb="0" eb="1">
      <t>シャ</t>
    </rPh>
    <phoneticPr fontId="1"/>
  </si>
  <si>
    <t>祭</t>
    <rPh sb="0" eb="1">
      <t>マツ</t>
    </rPh>
    <phoneticPr fontId="1"/>
  </si>
  <si>
    <t>度</t>
    <rPh sb="0" eb="1">
      <t>ド</t>
    </rPh>
    <phoneticPr fontId="1"/>
  </si>
  <si>
    <t>読</t>
    <rPh sb="0" eb="1">
      <t>ヨ</t>
    </rPh>
    <phoneticPr fontId="1"/>
  </si>
  <si>
    <t>本</t>
    <rPh sb="0" eb="1">
      <t>ホン</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</si>
</sst>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
  </numFmts>
  <fonts count="16" x14ac:knownFonts="1">
    <font>
      <sz val="11"/>
      <name val="ＭＳ Ｐゴシック"/>
      <family val="3"/>
      <charset val="128"/>
    </font>
    <font>
      <sz val="6"/>
      <name val="ＭＳ Ｐゴシック"/>
      <family val="3"/>
      <charset val="128"/>
    </font>
    <font>
      <sz val="11"/>
      <color theme="1"/>
      <name val="ＭＳ Ｐゴシック"/>
      <family val="2"/>
      <scheme val="minor"/>
    </font>
    <font>
      <sz val="11"/>
      <name val="UD デジタル 教科書体 N-R"/>
      <family val="1"/>
      <charset val="128"/>
    </font>
    <font>
      <sz val="48"/>
      <name val="UD デジタル 教科書体 N-R"/>
      <family val="1"/>
      <charset val="128"/>
    </font>
    <font>
      <sz val="16"/>
      <name val="UD デジタル 教科書体 N-R"/>
      <family val="1"/>
      <charset val="128"/>
    </font>
    <font>
      <sz val="14"/>
      <name val="UD デジタル 教科書体 N-R"/>
      <family val="1"/>
      <charset val="128"/>
    </font>
    <font>
      <sz val="18"/>
      <name val="UD デジタル 教科書体 N-R"/>
      <family val="1"/>
      <charset val="128"/>
    </font>
    <font>
      <sz val="36"/>
      <name val="UD デジタル 教科書体 N-R"/>
      <family val="1"/>
      <charset val="128"/>
    </font>
    <font>
      <sz val="36"/>
      <name val="ＭＳ Ｐゴシック"/>
      <family val="3"/>
      <charset val="128"/>
    </font>
    <font>
      <sz val="12"/>
      <name val="UD デジタル 教科書体 N-R"/>
      <family val="1"/>
      <charset val="128"/>
    </font>
    <font>
      <sz val="18"/>
      <name val="ＭＳ Ｐゴシック"/>
      <family val="3"/>
      <charset val="128"/>
    </font>
    <font>
      <sz val="48"/>
      <name val="ＭＳ Ｐゴシック"/>
      <family val="3"/>
      <charset val="128"/>
    </font>
    <font>
      <sz val="10"/>
      <name val="UD デジタル 教科書体 N-R"/>
      <family val="1"/>
      <charset val="128"/>
    </font>
    <font>
      <sz val="10"/>
      <name val="ＭＳ Ｐゴシック"/>
      <family val="3"/>
      <charset val="128"/>
    </font>
    <font>
      <sz val="22"/>
      <name val="UD デジタル 教科書体 N-R"/>
      <family val="1"/>
      <charset val="128"/>
    </font>
  </fonts>
  <fills count="5">
    <fill>
      <patternFill patternType="none"/>
    </fill>
    <fill>
      <patternFill patternType="gray125"/>
    </fill>
    <fill>
      <patternFill patternType="solid">
        <fgColor theme="7" tint="0.39994506668294322"/>
        <bgColor indexed="64"/>
      </patternFill>
    </fill>
    <fill>
      <patternFill patternType="solid">
        <fgColor theme="7" tint="0.59996337778862885"/>
        <bgColor indexed="64"/>
      </patternFill>
    </fill>
    <fill>
      <patternFill patternType="solid">
        <fgColor rgb="FFFFE699"/>
        <bgColor indexed="64"/>
      </patternFill>
    </fill>
  </fills>
  <borders count="41">
    <border>
      <left/>
      <right/>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right/>
      <top style="medium">
        <color indexed="64"/>
      </top>
      <bottom style="dotted">
        <color indexed="64"/>
      </bottom>
      <diagonal/>
    </border>
    <border>
      <left style="thin">
        <color indexed="64"/>
      </left>
      <right style="hair">
        <color indexed="64"/>
      </right>
      <top style="medium">
        <color indexed="64"/>
      </top>
      <bottom style="dotted">
        <color indexed="64"/>
      </bottom>
      <diagonal/>
    </border>
    <border>
      <left style="hair">
        <color indexed="64"/>
      </left>
      <right style="hair">
        <color indexed="64"/>
      </right>
      <top style="medium">
        <color indexed="64"/>
      </top>
      <bottom style="dotted">
        <color indexed="64"/>
      </bottom>
      <diagonal/>
    </border>
    <border>
      <left style="hair">
        <color indexed="64"/>
      </left>
      <right style="medium">
        <color indexed="64"/>
      </right>
      <top style="medium">
        <color indexed="64"/>
      </top>
      <bottom style="dotted">
        <color indexed="64"/>
      </bottom>
      <diagonal/>
    </border>
    <border>
      <left style="medium">
        <color indexed="64"/>
      </left>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right/>
      <top style="dotted">
        <color indexed="64"/>
      </top>
      <bottom style="medium">
        <color indexed="64"/>
      </bottom>
      <diagonal/>
    </border>
    <border>
      <left style="thin">
        <color indexed="64"/>
      </left>
      <right style="hair">
        <color indexed="64"/>
      </right>
      <top style="dotted">
        <color indexed="64"/>
      </top>
      <bottom style="medium">
        <color indexed="64"/>
      </bottom>
      <diagonal/>
    </border>
    <border>
      <left style="hair">
        <color indexed="64"/>
      </left>
      <right style="hair">
        <color indexed="64"/>
      </right>
      <top style="dotted">
        <color indexed="64"/>
      </top>
      <bottom style="medium">
        <color indexed="64"/>
      </bottom>
      <diagonal/>
    </border>
    <border>
      <left style="hair">
        <color indexed="64"/>
      </left>
      <right style="medium">
        <color indexed="64"/>
      </right>
      <top style="dotted">
        <color indexed="64"/>
      </top>
      <bottom style="medium">
        <color indexed="64"/>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right/>
      <top/>
      <bottom style="thin">
        <color auto="1"/>
      </bottom>
      <diagonal/>
    </border>
    <border>
      <left/>
      <right style="thin">
        <color indexed="64"/>
      </right>
      <top/>
      <bottom style="thin">
        <color indexed="64"/>
      </bottom>
      <diagonal/>
    </border>
  </borders>
  <cellStyleXfs count="2">
    <xf numFmtId="0" fontId="0" fillId="0" borderId="0">
      <alignment vertical="center"/>
    </xf>
    <xf numFmtId="0" fontId="2" fillId="0" borderId="0"/>
  </cellStyleXfs>
  <cellXfs count="79">
    <xf numFmtId="0" fontId="0" fillId="0" borderId="0" xfId="0">
      <alignment vertical="center"/>
    </xf>
    <xf numFmtId="0" fontId="3" fillId="0" borderId="0" xfId="0" applyFont="1" applyProtection="1">
      <alignment vertical="center"/>
    </xf>
    <xf numFmtId="0" fontId="3" fillId="0" borderId="0" xfId="0" applyFont="1" applyAlignment="1" applyProtection="1">
      <alignment horizontal="justify" vertical="distributed"/>
    </xf>
    <xf numFmtId="0" fontId="3" fillId="0" borderId="0" xfId="0" applyFont="1" applyBorder="1" applyProtection="1">
      <alignment vertical="center"/>
    </xf>
    <xf numFmtId="0" fontId="3" fillId="0" borderId="0" xfId="0" applyFont="1" applyAlignment="1" applyProtection="1">
      <alignment vertical="center"/>
    </xf>
    <xf numFmtId="0" fontId="8" fillId="0" borderId="0" xfId="0" applyFont="1" applyAlignment="1" applyProtection="1">
      <alignment vertical="center" shrinkToFit="1"/>
    </xf>
    <xf numFmtId="0" fontId="3" fillId="0" borderId="11" xfId="0" applyFont="1" applyBorder="1" applyAlignment="1" applyProtection="1">
      <alignment vertical="center"/>
    </xf>
    <xf numFmtId="0" fontId="10" fillId="0" borderId="6" xfId="0" applyFont="1" applyFill="1" applyBorder="1" applyAlignment="1" applyProtection="1">
      <alignment vertical="center"/>
    </xf>
    <xf numFmtId="0" fontId="10" fillId="0" borderId="7" xfId="0" applyFont="1" applyFill="1" applyBorder="1" applyAlignment="1" applyProtection="1">
      <alignment vertical="center"/>
    </xf>
    <xf numFmtId="0" fontId="3" fillId="0" borderId="7" xfId="0" applyFont="1" applyBorder="1" applyAlignment="1" applyProtection="1">
      <alignment vertical="center"/>
    </xf>
    <xf numFmtId="0" fontId="3" fillId="0" borderId="12" xfId="0" applyFont="1" applyBorder="1" applyAlignment="1" applyProtection="1">
      <alignment vertical="center"/>
    </xf>
    <xf numFmtId="0" fontId="3" fillId="0" borderId="16" xfId="0" applyFont="1" applyBorder="1" applyAlignment="1" applyProtection="1">
      <alignment horizontal="center" vertical="center" shrinkToFit="1"/>
    </xf>
    <xf numFmtId="0" fontId="3" fillId="0" borderId="17" xfId="0" applyFont="1" applyBorder="1" applyAlignment="1" applyProtection="1">
      <alignment horizontal="center" vertical="center" shrinkToFit="1"/>
    </xf>
    <xf numFmtId="0" fontId="3" fillId="0" borderId="18" xfId="0" applyFont="1" applyBorder="1" applyAlignment="1" applyProtection="1">
      <alignment horizontal="center" vertical="center" shrinkToFit="1"/>
    </xf>
    <xf numFmtId="0" fontId="3" fillId="3" borderId="22" xfId="0" applyFont="1" applyFill="1" applyBorder="1" applyAlignment="1" applyProtection="1">
      <alignment horizontal="center" vertical="center" shrinkToFit="1"/>
      <protection locked="0"/>
    </xf>
    <xf numFmtId="0" fontId="3" fillId="3" borderId="23" xfId="0" applyFont="1" applyFill="1" applyBorder="1" applyAlignment="1" applyProtection="1">
      <alignment horizontal="center" vertical="center" shrinkToFit="1"/>
      <protection locked="0"/>
    </xf>
    <xf numFmtId="0" fontId="3" fillId="3" borderId="24" xfId="0" applyFont="1" applyFill="1" applyBorder="1" applyAlignment="1" applyProtection="1">
      <alignment horizontal="center" vertical="center" shrinkToFit="1"/>
      <protection locked="0"/>
    </xf>
    <xf numFmtId="0" fontId="10" fillId="0" borderId="0" xfId="0" applyFont="1" applyFill="1" applyAlignment="1" applyProtection="1">
      <alignment vertical="center"/>
    </xf>
    <xf numFmtId="0" fontId="5" fillId="0" borderId="0" xfId="0" applyFont="1" applyProtection="1">
      <alignment vertical="center"/>
    </xf>
    <xf numFmtId="0" fontId="6" fillId="0" borderId="0" xfId="0" applyFont="1" applyProtection="1">
      <alignment vertical="center"/>
    </xf>
    <xf numFmtId="0" fontId="3" fillId="0" borderId="0" xfId="0" applyFont="1" applyBorder="1" applyAlignment="1" applyProtection="1">
      <alignment vertical="center"/>
    </xf>
    <xf numFmtId="0" fontId="5" fillId="0" borderId="0" xfId="0" applyFont="1" applyBorder="1" applyAlignment="1" applyProtection="1">
      <alignment horizontal="center" vertical="center"/>
    </xf>
    <xf numFmtId="0" fontId="15" fillId="0" borderId="0" xfId="0" applyFont="1" applyProtection="1">
      <alignment vertical="center"/>
    </xf>
    <xf numFmtId="0" fontId="4" fillId="0" borderId="8" xfId="0" applyFont="1" applyBorder="1" applyAlignment="1" applyProtection="1">
      <alignment horizontal="center" vertical="center" textRotation="255" shrinkToFit="1"/>
    </xf>
    <xf numFmtId="0" fontId="4" fillId="0" borderId="9" xfId="0" applyFont="1" applyBorder="1" applyAlignment="1" applyProtection="1">
      <alignment horizontal="center" vertical="center" textRotation="255" shrinkToFit="1"/>
    </xf>
    <xf numFmtId="0" fontId="4" fillId="0" borderId="10" xfId="0" applyFont="1" applyBorder="1" applyAlignment="1" applyProtection="1">
      <alignment horizontal="center" vertical="center" textRotation="255" shrinkToFit="1"/>
    </xf>
    <xf numFmtId="176" fontId="3" fillId="0" borderId="0" xfId="0" applyNumberFormat="1" applyFont="1" applyBorder="1" applyAlignment="1" applyProtection="1">
      <alignment horizontal="left" vertical="center" textRotation="255" shrinkToFit="1"/>
    </xf>
    <xf numFmtId="0" fontId="5" fillId="0" borderId="0" xfId="0" applyFont="1" applyBorder="1" applyAlignment="1" applyProtection="1">
      <alignment horizontal="center" vertical="center"/>
    </xf>
    <xf numFmtId="0" fontId="5" fillId="0" borderId="0" xfId="0" applyFont="1" applyAlignment="1" applyProtection="1">
      <alignment vertical="center"/>
    </xf>
    <xf numFmtId="0" fontId="4" fillId="0" borderId="39" xfId="0" applyFont="1" applyBorder="1" applyAlignment="1" applyProtection="1">
      <alignment horizontal="center" vertical="center"/>
    </xf>
    <xf numFmtId="0" fontId="12" fillId="0" borderId="39" xfId="0" applyFont="1" applyBorder="1" applyAlignment="1" applyProtection="1">
      <alignment horizontal="center" vertical="center"/>
    </xf>
    <xf numFmtId="0" fontId="12" fillId="0" borderId="40" xfId="0" applyFont="1" applyBorder="1" applyAlignment="1" applyProtection="1">
      <alignment horizontal="center" vertical="center"/>
    </xf>
    <xf numFmtId="0" fontId="6" fillId="0" borderId="3" xfId="0" applyFont="1" applyBorder="1" applyAlignment="1" applyProtection="1">
      <alignment vertical="center" textRotation="255" shrinkToFit="1"/>
    </xf>
    <xf numFmtId="0" fontId="6" fillId="0" borderId="4" xfId="0" applyFont="1" applyBorder="1" applyAlignment="1" applyProtection="1">
      <alignment vertical="center" textRotation="255" shrinkToFit="1"/>
    </xf>
    <xf numFmtId="0" fontId="6" fillId="0" borderId="5" xfId="0" applyFont="1" applyBorder="1" applyAlignment="1" applyProtection="1">
      <alignment vertical="center" textRotation="255" shrinkToFit="1"/>
    </xf>
    <xf numFmtId="0" fontId="3" fillId="0" borderId="3" xfId="0" applyFont="1" applyBorder="1" applyAlignment="1" applyProtection="1">
      <alignment horizontal="center" vertical="top" shrinkToFit="1"/>
    </xf>
    <xf numFmtId="0" fontId="3" fillId="0" borderId="4" xfId="0" applyFont="1" applyBorder="1" applyAlignment="1" applyProtection="1">
      <alignment horizontal="center" vertical="top" shrinkToFit="1"/>
    </xf>
    <xf numFmtId="0" fontId="3" fillId="0" borderId="5" xfId="0" applyFont="1" applyBorder="1" applyAlignment="1" applyProtection="1">
      <alignment horizontal="center" vertical="top" shrinkToFit="1"/>
    </xf>
    <xf numFmtId="0" fontId="3" fillId="0" borderId="0" xfId="0" applyFont="1" applyBorder="1" applyAlignment="1" applyProtection="1">
      <alignment vertical="center"/>
    </xf>
    <xf numFmtId="0" fontId="8" fillId="0" borderId="26" xfId="0" applyFont="1" applyBorder="1" applyAlignment="1" applyProtection="1">
      <alignment horizontal="center" vertical="center" shrinkToFit="1"/>
    </xf>
    <xf numFmtId="0" fontId="9" fillId="0" borderId="26" xfId="0" applyFont="1" applyBorder="1" applyAlignment="1" applyProtection="1">
      <alignment horizontal="center" vertical="center" shrinkToFit="1"/>
    </xf>
    <xf numFmtId="0" fontId="0" fillId="0" borderId="26" xfId="0" applyBorder="1" applyAlignment="1" applyProtection="1">
      <alignment horizontal="center" vertical="center" shrinkToFit="1"/>
    </xf>
    <xf numFmtId="0" fontId="8" fillId="0" borderId="31" xfId="0" applyFont="1" applyBorder="1" applyAlignment="1" applyProtection="1">
      <alignment horizontal="center" vertical="center" shrinkToFit="1"/>
    </xf>
    <xf numFmtId="0" fontId="0" fillId="0" borderId="29" xfId="0" applyBorder="1" applyAlignment="1" applyProtection="1">
      <alignment horizontal="center" vertical="center" shrinkToFit="1"/>
    </xf>
    <xf numFmtId="0" fontId="0" fillId="0" borderId="30" xfId="0" applyBorder="1" applyAlignment="1" applyProtection="1">
      <alignment horizontal="center" vertical="center" shrinkToFit="1"/>
    </xf>
    <xf numFmtId="0" fontId="0" fillId="0" borderId="27" xfId="0" applyBorder="1" applyAlignment="1" applyProtection="1">
      <alignment horizontal="center" vertical="center" shrinkToFit="1"/>
    </xf>
    <xf numFmtId="0" fontId="8" fillId="0" borderId="1" xfId="0" applyFont="1" applyBorder="1" applyAlignment="1" applyProtection="1">
      <alignment horizontal="center" vertical="center" shrinkToFit="1"/>
      <protection locked="0"/>
    </xf>
    <xf numFmtId="0" fontId="9" fillId="0" borderId="1" xfId="0" applyFont="1" applyBorder="1" applyAlignment="1" applyProtection="1">
      <alignment horizontal="center" vertical="center" shrinkToFit="1"/>
      <protection locked="0"/>
    </xf>
    <xf numFmtId="0" fontId="0" fillId="0" borderId="1" xfId="0" applyBorder="1" applyAlignment="1" applyProtection="1">
      <alignment horizontal="center" vertical="center" shrinkToFit="1"/>
      <protection locked="0"/>
    </xf>
    <xf numFmtId="0" fontId="0" fillId="0" borderId="2" xfId="0" applyBorder="1" applyAlignment="1" applyProtection="1">
      <alignment horizontal="center" vertical="center" shrinkToFit="1"/>
      <protection locked="0"/>
    </xf>
    <xf numFmtId="0" fontId="8" fillId="0" borderId="25" xfId="0" applyFont="1" applyBorder="1" applyAlignment="1" applyProtection="1">
      <alignment horizontal="center" vertical="center" shrinkToFit="1"/>
    </xf>
    <xf numFmtId="0" fontId="8" fillId="2" borderId="28" xfId="0" applyFont="1" applyFill="1" applyBorder="1" applyAlignment="1" applyProtection="1">
      <alignment horizontal="center" vertical="center" shrinkToFit="1"/>
      <protection locked="0"/>
    </xf>
    <xf numFmtId="0" fontId="0" fillId="0" borderId="29" xfId="0" applyBorder="1" applyAlignment="1" applyProtection="1">
      <alignment horizontal="center" vertical="center" shrinkToFit="1"/>
      <protection locked="0"/>
    </xf>
    <xf numFmtId="0" fontId="0" fillId="0" borderId="30" xfId="0" applyBorder="1" applyAlignment="1" applyProtection="1">
      <alignment horizontal="center" vertical="center" shrinkToFit="1"/>
      <protection locked="0"/>
    </xf>
    <xf numFmtId="0" fontId="7" fillId="4" borderId="14" xfId="0" applyFont="1" applyFill="1" applyBorder="1" applyAlignment="1" applyProtection="1">
      <alignment horizontal="center" vertical="center"/>
      <protection locked="0"/>
    </xf>
    <xf numFmtId="0" fontId="11" fillId="4" borderId="20" xfId="0" applyFont="1" applyFill="1" applyBorder="1" applyAlignment="1" applyProtection="1">
      <alignment horizontal="center" vertical="center"/>
      <protection locked="0"/>
    </xf>
    <xf numFmtId="0" fontId="7" fillId="4" borderId="36" xfId="0" applyFont="1" applyFill="1" applyBorder="1" applyAlignment="1" applyProtection="1">
      <alignment horizontal="center" vertical="center"/>
      <protection locked="0"/>
    </xf>
    <xf numFmtId="0" fontId="11" fillId="4" borderId="38" xfId="0" applyFont="1" applyFill="1" applyBorder="1" applyAlignment="1" applyProtection="1">
      <alignment horizontal="center" vertical="center"/>
      <protection locked="0"/>
    </xf>
    <xf numFmtId="0" fontId="3" fillId="0" borderId="13" xfId="0" applyFont="1" applyBorder="1" applyAlignment="1" applyProtection="1">
      <alignment vertical="center"/>
    </xf>
    <xf numFmtId="0" fontId="0" fillId="0" borderId="19" xfId="0" applyBorder="1" applyAlignment="1" applyProtection="1">
      <alignment vertical="center"/>
    </xf>
    <xf numFmtId="0" fontId="7" fillId="3" borderId="35" xfId="0" applyFont="1" applyFill="1" applyBorder="1" applyAlignment="1" applyProtection="1">
      <alignment horizontal="center" vertical="center"/>
      <protection locked="0"/>
    </xf>
    <xf numFmtId="0" fontId="11" fillId="3" borderId="37" xfId="0" applyFont="1" applyFill="1" applyBorder="1" applyAlignment="1" applyProtection="1">
      <alignment horizontal="center" vertical="center"/>
      <protection locked="0"/>
    </xf>
    <xf numFmtId="0" fontId="3" fillId="0" borderId="15" xfId="0" applyFont="1" applyBorder="1" applyAlignment="1" applyProtection="1">
      <alignment vertical="center"/>
    </xf>
    <xf numFmtId="0" fontId="0" fillId="0" borderId="21" xfId="0" applyBorder="1" applyAlignment="1" applyProtection="1">
      <alignment vertical="center"/>
    </xf>
    <xf numFmtId="0" fontId="7" fillId="3" borderId="14" xfId="0" applyFont="1" applyFill="1" applyBorder="1" applyAlignment="1" applyProtection="1">
      <alignment horizontal="center" vertical="center"/>
      <protection locked="0"/>
    </xf>
    <xf numFmtId="0" fontId="11" fillId="3" borderId="20" xfId="0" applyFont="1" applyFill="1" applyBorder="1" applyAlignment="1" applyProtection="1">
      <alignment horizontal="center" vertical="center"/>
      <protection locked="0"/>
    </xf>
    <xf numFmtId="0" fontId="13" fillId="3" borderId="32" xfId="1" applyFont="1" applyFill="1" applyBorder="1" applyAlignment="1" applyProtection="1">
      <alignment horizontal="left" vertical="center" indent="1" shrinkToFit="1"/>
      <protection locked="0"/>
    </xf>
    <xf numFmtId="0" fontId="14" fillId="0" borderId="33" xfId="0" applyFont="1" applyBorder="1" applyAlignment="1" applyProtection="1">
      <alignment horizontal="left" vertical="center" indent="1" shrinkToFit="1"/>
      <protection locked="0"/>
    </xf>
    <xf numFmtId="0" fontId="14" fillId="0" borderId="34" xfId="0" applyFont="1" applyBorder="1" applyAlignment="1" applyProtection="1">
      <alignment horizontal="left" vertical="center" indent="1" shrinkToFit="1"/>
      <protection locked="0"/>
    </xf>
    <xf numFmtId="0" fontId="14" fillId="3" borderId="3" xfId="0" applyFont="1" applyFill="1" applyBorder="1" applyAlignment="1" applyProtection="1">
      <alignment horizontal="left" vertical="center" indent="1" shrinkToFit="1"/>
      <protection locked="0"/>
    </xf>
    <xf numFmtId="0" fontId="14" fillId="0" borderId="4" xfId="0" applyFont="1" applyBorder="1" applyAlignment="1" applyProtection="1">
      <alignment horizontal="left" vertical="center" indent="1" shrinkToFit="1"/>
      <protection locked="0"/>
    </xf>
    <xf numFmtId="0" fontId="14" fillId="0" borderId="5" xfId="0" applyFont="1" applyBorder="1" applyAlignment="1" applyProtection="1">
      <alignment horizontal="left" vertical="center" indent="1" shrinkToFit="1"/>
      <protection locked="0"/>
    </xf>
    <xf numFmtId="0" fontId="13" fillId="3" borderId="3" xfId="1" applyFont="1" applyFill="1" applyBorder="1" applyAlignment="1" applyProtection="1">
      <alignment horizontal="left" vertical="center" indent="1" shrinkToFit="1"/>
      <protection locked="0"/>
    </xf>
    <xf numFmtId="0" fontId="14" fillId="3" borderId="31" xfId="0" applyFont="1" applyFill="1" applyBorder="1" applyAlignment="1" applyProtection="1">
      <alignment horizontal="left" vertical="center" indent="1" shrinkToFit="1"/>
      <protection locked="0"/>
    </xf>
    <xf numFmtId="0" fontId="14" fillId="0" borderId="29" xfId="0" applyFont="1" applyBorder="1" applyAlignment="1" applyProtection="1">
      <alignment horizontal="left" vertical="center" indent="1" shrinkToFit="1"/>
      <protection locked="0"/>
    </xf>
    <xf numFmtId="0" fontId="14" fillId="0" borderId="30" xfId="0" applyFont="1" applyBorder="1" applyAlignment="1" applyProtection="1">
      <alignment horizontal="left" vertical="center" indent="1" shrinkToFit="1"/>
      <protection locked="0"/>
    </xf>
    <xf numFmtId="0" fontId="0" fillId="0" borderId="3" xfId="0" applyBorder="1" applyAlignment="1">
      <alignment vertical="center"/>
    </xf>
    <xf numFmtId="0" fontId="0" fillId="0" borderId="4" xfId="0" applyBorder="1" applyAlignment="1">
      <alignment vertical="center"/>
    </xf>
    <xf numFmtId="0" fontId="0" fillId="0" borderId="5" xfId="0" applyBorder="1" applyAlignment="1">
      <alignment vertical="center"/>
    </xf>
  </cellXfs>
  <cellStyles count="2">
    <cellStyle name="標準" xfId="0" builtinId="0"/>
    <cellStyle name="標準 2" xfId="1"/>
  </cellStyles>
  <dxfs count="23">
    <dxf>
      <font>
        <color theme="0"/>
      </font>
    </dxf>
    <dxf>
      <font>
        <color theme="0" tint="-0.499984740745262"/>
      </font>
      <border>
        <left style="dotted">
          <color auto="1"/>
        </left>
        <right style="dotted">
          <color auto="1"/>
        </right>
        <bottom style="dotted">
          <color auto="1"/>
        </bottom>
        <vertical/>
        <horizontal/>
      </border>
    </dxf>
    <dxf>
      <border>
        <top style="dotted">
          <color auto="1"/>
        </top>
        <vertical/>
        <horizontal/>
      </border>
    </dxf>
    <dxf>
      <font>
        <color theme="1"/>
      </font>
      <border>
        <left style="dotted">
          <color auto="1"/>
        </left>
        <right style="dotted">
          <color auto="1"/>
        </right>
        <bottom style="dotted">
          <color auto="1"/>
        </bottom>
        <vertical/>
        <horizontal/>
      </border>
    </dxf>
    <dxf>
      <border>
        <bottom style="dotted">
          <color auto="1"/>
        </bottom>
        <vertical/>
        <horizontal/>
      </border>
    </dxf>
    <dxf>
      <border>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font>
        <color theme="0"/>
      </font>
    </dxf>
    <dxf>
      <font>
        <color theme="0"/>
      </font>
    </dxf>
    <dxf>
      <border>
        <bottom style="dotted">
          <color auto="1"/>
        </bottom>
        <vertical/>
        <horizontal/>
      </border>
    </dxf>
    <dxf>
      <font>
        <color theme="1"/>
      </font>
      <border>
        <left style="dotted">
          <color auto="1"/>
        </left>
        <right style="dotted">
          <color auto="1"/>
        </right>
        <top style="thin">
          <color auto="1"/>
        </top>
        <vertical/>
        <horizontal/>
      </border>
    </dxf>
    <dxf>
      <font>
        <color theme="0" tint="-0.499984740745262"/>
      </font>
      <border>
        <left style="dotted">
          <color auto="1"/>
        </left>
        <right style="dotted">
          <color auto="1"/>
        </right>
        <top style="thin">
          <color auto="1"/>
        </top>
        <vertical/>
        <horizontal/>
      </border>
    </dxf>
    <dxf>
      <fill>
        <patternFill>
          <bgColor rgb="FF00B0F0"/>
        </patternFill>
      </fill>
    </dxf>
    <dxf>
      <fill>
        <patternFill>
          <bgColor rgb="FFFF99FF"/>
        </patternFill>
      </fill>
    </dxf>
    <dxf>
      <fill>
        <patternFill>
          <bgColor rgb="FF00B0F0"/>
        </patternFill>
      </fill>
    </dxf>
    <dxf>
      <fill>
        <patternFill>
          <bgColor rgb="FFFF99FF"/>
        </patternFill>
      </fill>
    </dxf>
    <dxf>
      <fill>
        <patternFill>
          <bgColor rgb="FF00B0F0"/>
        </patternFill>
      </fill>
    </dxf>
    <dxf>
      <fill>
        <patternFill>
          <bgColor rgb="FFFF99FF"/>
        </patternFill>
      </fill>
    </dxf>
    <dxf>
      <fill>
        <patternFill>
          <bgColor rgb="FF00B0F0"/>
        </patternFill>
      </fill>
    </dxf>
    <dxf>
      <fill>
        <patternFill>
          <bgColor rgb="FFFF99FF"/>
        </patternFill>
      </fill>
    </dxf>
    <dxf>
      <fill>
        <patternFill>
          <bgColor rgb="FF00B0F0"/>
        </patternFill>
      </fill>
    </dxf>
    <dxf>
      <fill>
        <patternFill>
          <bgColor rgb="FFFF99CC"/>
        </patternFill>
      </fill>
    </dxf>
  </dxfs>
  <tableStyles count="0" defaultTableStyle="TableStyleMedium2" defaultPivotStyle="PivotStyleLight16"/>
  <colors>
    <mruColors>
      <color rgb="FFFF99FF"/>
      <color rgb="FFFFE6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0</xdr:col>
          <xdr:colOff>0</xdr:colOff>
          <xdr:row>3</xdr:row>
          <xdr:rowOff>0</xdr:rowOff>
        </xdr:from>
        <xdr:to>
          <xdr:col>6</xdr:col>
          <xdr:colOff>0</xdr:colOff>
          <xdr:row>4</xdr:row>
          <xdr:rowOff>2340</xdr:rowOff>
        </xdr:to>
        <xdr:pic>
          <xdr:nvPicPr>
            <xdr:cNvPr id="10" name="図 9"/>
            <xdr:cNvPicPr>
              <a:picLocks noChangeArrowheads="1"/>
              <a:extLst>
                <a:ext uri="{84589F7E-364E-4C9E-8A38-B11213B215E9}">
                  <a14:cameraTool cellRange="mondai_1" spid="_x0000_s6054"/>
                </a:ext>
              </a:extLst>
            </xdr:cNvPicPr>
          </xdr:nvPicPr>
          <xdr:blipFill>
            <a:blip xmlns:r="http://schemas.openxmlformats.org/officeDocument/2006/relationships" r:embed="rId1"/>
            <a:srcRect/>
            <a:stretch>
              <a:fillRect/>
            </a:stretch>
          </xdr:blipFill>
          <xdr:spPr bwMode="auto">
            <a:xfrm>
              <a:off x="0" y="1487365"/>
              <a:ext cx="783981" cy="800975"/>
            </a:xfrm>
            <a:prstGeom prst="rect">
              <a:avLst/>
            </a:prstGeom>
            <a:noFill/>
            <a:extLst>
              <a:ext uri="{909E8E84-426E-40DD-AFC4-6F175D3DCCD1}">
                <a14:hiddenFill>
                  <a:solidFill>
                    <a:srgbClr val="FFFFFF"/>
                  </a:solidFill>
                </a14:hiddenFill>
              </a:ext>
            </a:extLst>
          </xdr:spPr>
        </xdr:pic>
        <xdr:clientData/>
      </xdr:twoCellAnchor>
    </mc:Choice>
    <mc:Fallback/>
  </mc:AlternateContent>
  <xdr:oneCellAnchor>
    <xdr:from>
      <xdr:col>88</xdr:col>
      <xdr:colOff>110822</xdr:colOff>
      <xdr:row>0</xdr:row>
      <xdr:rowOff>104322</xdr:rowOff>
    </xdr:from>
    <xdr:ext cx="635528" cy="981907"/>
    <xdr:pic>
      <xdr:nvPicPr>
        <xdr:cNvPr id="12860" name="Picture 3">
          <a:extLst>
            <a:ext uri="{FF2B5EF4-FFF2-40B4-BE49-F238E27FC236}">
              <a16:creationId xmlns:a16="http://schemas.microsoft.com/office/drawing/2014/main" xmlns="" id="{00000000-0008-0000-0000-00003C32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568036" y="104322"/>
          <a:ext cx="635528" cy="9819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100</xdr:col>
      <xdr:colOff>83910</xdr:colOff>
      <xdr:row>0</xdr:row>
      <xdr:rowOff>31751</xdr:rowOff>
    </xdr:from>
    <xdr:to>
      <xdr:col>128</xdr:col>
      <xdr:colOff>108857</xdr:colOff>
      <xdr:row>10</xdr:row>
      <xdr:rowOff>122464</xdr:rowOff>
    </xdr:to>
    <xdr:sp macro="" textlink="">
      <xdr:nvSpPr>
        <xdr:cNvPr id="2" name="四角形吹き出し 1"/>
        <xdr:cNvSpPr/>
      </xdr:nvSpPr>
      <xdr:spPr>
        <a:xfrm>
          <a:off x="13146767" y="31751"/>
          <a:ext cx="3834947" cy="6377213"/>
        </a:xfrm>
        <a:prstGeom prst="wedgeRectCallout">
          <a:avLst>
            <a:gd name="adj1" fmla="val -71825"/>
            <a:gd name="adj2" fmla="val -45522"/>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まず「問題文入力シート」に行って問題文を入力してください。</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問題文を入力したら出題設定をします。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・「隠しサイズ」は上の漢字を隠すマスクのサイズです。全部・大・小・なしがあります。初めはなし・小から始めて、書けるようになれば隠すサイズを大きくします。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・「漢字」は、問題文の中に漢字を入れるか入れないかを選択できます。「入れる」にして漢字を確認することもできます。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・「ふりがな」は、読みのところにふり仮名を入れる入れないが選択できます。「ふりがな」なしで漢字を書く練習は漢字の意味の学習にもなります。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・「文字色」は黒文字、なぞり文字を選択できます。文字を丁寧に書かせる練習をしたいときは、なぞり文字を選択して、なぞる練習もさせます。</a:t>
          </a:r>
          <a:endParaRPr kumimoji="1" lang="ja-JP" altLang="en-US" sz="1400">
            <a:solidFill>
              <a:sysClr val="windowText" lastClr="000000"/>
            </a:solidFill>
            <a:latin typeface="UD デジタル 教科書体 N-R" panose="02020400000000000000" pitchFamily="17" charset="-128"/>
            <a:ea typeface="UD デジタル 教科書体 N-R" panose="02020400000000000000" pitchFamily="17" charset="-128"/>
          </a:endParaRPr>
        </a:p>
      </xdr:txBody>
    </xdr:sp>
    <xdr:clientData/>
  </xdr:twoCellAnchor>
  <mc:AlternateContent xmlns:mc="http://schemas.openxmlformats.org/markup-compatibility/2006">
    <mc:Choice xmlns:a14="http://schemas.microsoft.com/office/drawing/2010/main" Requires="a14">
      <xdr:twoCellAnchor editAs="absolute">
        <xdr:from>
          <xdr:col>5</xdr:col>
          <xdr:colOff>124557</xdr:colOff>
          <xdr:row>3</xdr:row>
          <xdr:rowOff>0</xdr:rowOff>
        </xdr:from>
        <xdr:to>
          <xdr:col>11</xdr:col>
          <xdr:colOff>131884</xdr:colOff>
          <xdr:row>4</xdr:row>
          <xdr:rowOff>2340</xdr:rowOff>
        </xdr:to>
        <xdr:pic>
          <xdr:nvPicPr>
            <xdr:cNvPr id="20" name="図 19"/>
            <xdr:cNvPicPr>
              <a:picLocks noChangeArrowheads="1"/>
              <a:extLst>
                <a:ext uri="{84589F7E-364E-4C9E-8A38-B11213B215E9}">
                  <a14:cameraTool cellRange="mondai_1" spid="_x0000_s6055"/>
                </a:ext>
              </a:extLst>
            </xdr:cNvPicPr>
          </xdr:nvPicPr>
          <xdr:blipFill>
            <a:blip xmlns:r="http://schemas.openxmlformats.org/officeDocument/2006/relationships" r:embed="rId1"/>
            <a:srcRect/>
            <a:stretch>
              <a:fillRect/>
            </a:stretch>
          </xdr:blipFill>
          <xdr:spPr bwMode="auto">
            <a:xfrm>
              <a:off x="783980"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12</xdr:col>
          <xdr:colOff>0</xdr:colOff>
          <xdr:row>3</xdr:row>
          <xdr:rowOff>0</xdr:rowOff>
        </xdr:from>
        <xdr:to>
          <xdr:col>18</xdr:col>
          <xdr:colOff>0</xdr:colOff>
          <xdr:row>4</xdr:row>
          <xdr:rowOff>2340</xdr:rowOff>
        </xdr:to>
        <xdr:pic>
          <xdr:nvPicPr>
            <xdr:cNvPr id="24" name="図 23"/>
            <xdr:cNvPicPr>
              <a:picLocks noChangeArrowheads="1"/>
              <a:extLst>
                <a:ext uri="{84589F7E-364E-4C9E-8A38-B11213B215E9}">
                  <a14:cameraTool cellRange="mondai_1" spid="_x0000_s6056"/>
                </a:ext>
              </a:extLst>
            </xdr:cNvPicPr>
          </xdr:nvPicPr>
          <xdr:blipFill>
            <a:blip xmlns:r="http://schemas.openxmlformats.org/officeDocument/2006/relationships" r:embed="rId1"/>
            <a:srcRect/>
            <a:stretch>
              <a:fillRect/>
            </a:stretch>
          </xdr:blipFill>
          <xdr:spPr bwMode="auto">
            <a:xfrm>
              <a:off x="1553308" y="1487365"/>
              <a:ext cx="762000"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18</xdr:col>
          <xdr:colOff>0</xdr:colOff>
          <xdr:row>3</xdr:row>
          <xdr:rowOff>0</xdr:rowOff>
        </xdr:from>
        <xdr:to>
          <xdr:col>23</xdr:col>
          <xdr:colOff>124557</xdr:colOff>
          <xdr:row>4</xdr:row>
          <xdr:rowOff>2340</xdr:rowOff>
        </xdr:to>
        <xdr:pic>
          <xdr:nvPicPr>
            <xdr:cNvPr id="28" name="図 27"/>
            <xdr:cNvPicPr>
              <a:picLocks noChangeArrowheads="1"/>
              <a:extLst>
                <a:ext uri="{84589F7E-364E-4C9E-8A38-B11213B215E9}">
                  <a14:cameraTool cellRange="mondai_1" spid="_x0000_s6057"/>
                </a:ext>
              </a:extLst>
            </xdr:cNvPicPr>
          </xdr:nvPicPr>
          <xdr:blipFill>
            <a:blip xmlns:r="http://schemas.openxmlformats.org/officeDocument/2006/relationships" r:embed="rId1"/>
            <a:srcRect/>
            <a:stretch>
              <a:fillRect/>
            </a:stretch>
          </xdr:blipFill>
          <xdr:spPr bwMode="auto">
            <a:xfrm>
              <a:off x="2315308" y="1487365"/>
              <a:ext cx="783980"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23</xdr:col>
          <xdr:colOff>124557</xdr:colOff>
          <xdr:row>3</xdr:row>
          <xdr:rowOff>0</xdr:rowOff>
        </xdr:from>
        <xdr:to>
          <xdr:col>30</xdr:col>
          <xdr:colOff>0</xdr:colOff>
          <xdr:row>4</xdr:row>
          <xdr:rowOff>2340</xdr:rowOff>
        </xdr:to>
        <xdr:pic>
          <xdr:nvPicPr>
            <xdr:cNvPr id="30" name="図 29"/>
            <xdr:cNvPicPr>
              <a:picLocks noChangeArrowheads="1"/>
              <a:extLst>
                <a:ext uri="{84589F7E-364E-4C9E-8A38-B11213B215E9}">
                  <a14:cameraTool cellRange="mondai_1" spid="_x0000_s6058"/>
                </a:ext>
              </a:extLst>
            </xdr:cNvPicPr>
          </xdr:nvPicPr>
          <xdr:blipFill>
            <a:blip xmlns:r="http://schemas.openxmlformats.org/officeDocument/2006/relationships" r:embed="rId1"/>
            <a:srcRect/>
            <a:stretch>
              <a:fillRect/>
            </a:stretch>
          </xdr:blipFill>
          <xdr:spPr bwMode="auto">
            <a:xfrm>
              <a:off x="3099288"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30</xdr:col>
          <xdr:colOff>0</xdr:colOff>
          <xdr:row>3</xdr:row>
          <xdr:rowOff>0</xdr:rowOff>
        </xdr:from>
        <xdr:to>
          <xdr:col>35</xdr:col>
          <xdr:colOff>111220</xdr:colOff>
          <xdr:row>4</xdr:row>
          <xdr:rowOff>2340</xdr:rowOff>
        </xdr:to>
        <xdr:pic>
          <xdr:nvPicPr>
            <xdr:cNvPr id="31" name="図 30"/>
            <xdr:cNvPicPr>
              <a:picLocks noChangeArrowheads="1"/>
              <a:extLst>
                <a:ext uri="{84589F7E-364E-4C9E-8A38-B11213B215E9}">
                  <a14:cameraTool cellRange="mondai_1" spid="_x0000_s6059"/>
                </a:ext>
              </a:extLst>
            </xdr:cNvPicPr>
          </xdr:nvPicPr>
          <xdr:blipFill>
            <a:blip xmlns:r="http://schemas.openxmlformats.org/officeDocument/2006/relationships" r:embed="rId1"/>
            <a:srcRect/>
            <a:stretch>
              <a:fillRect/>
            </a:stretch>
          </xdr:blipFill>
          <xdr:spPr bwMode="auto">
            <a:xfrm>
              <a:off x="3868615" y="1487365"/>
              <a:ext cx="748663"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35</xdr:col>
          <xdr:colOff>110912</xdr:colOff>
          <xdr:row>3</xdr:row>
          <xdr:rowOff>0</xdr:rowOff>
        </xdr:from>
        <xdr:to>
          <xdr:col>42</xdr:col>
          <xdr:colOff>0</xdr:colOff>
          <xdr:row>4</xdr:row>
          <xdr:rowOff>2340</xdr:rowOff>
        </xdr:to>
        <xdr:pic>
          <xdr:nvPicPr>
            <xdr:cNvPr id="32" name="図 31"/>
            <xdr:cNvPicPr>
              <a:picLocks noChangeArrowheads="1"/>
              <a:extLst>
                <a:ext uri="{84589F7E-364E-4C9E-8A38-B11213B215E9}">
                  <a14:cameraTool cellRange="mondai_1" spid="_x0000_s6060"/>
                </a:ext>
              </a:extLst>
            </xdr:cNvPicPr>
          </xdr:nvPicPr>
          <xdr:blipFill>
            <a:blip xmlns:r="http://schemas.openxmlformats.org/officeDocument/2006/relationships" r:embed="rId1"/>
            <a:srcRect/>
            <a:stretch>
              <a:fillRect/>
            </a:stretch>
          </xdr:blipFill>
          <xdr:spPr bwMode="auto">
            <a:xfrm>
              <a:off x="4616970" y="1487365"/>
              <a:ext cx="797626"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42</xdr:col>
          <xdr:colOff>0</xdr:colOff>
          <xdr:row>3</xdr:row>
          <xdr:rowOff>0</xdr:rowOff>
        </xdr:from>
        <xdr:to>
          <xdr:col>48</xdr:col>
          <xdr:colOff>0</xdr:colOff>
          <xdr:row>4</xdr:row>
          <xdr:rowOff>2340</xdr:rowOff>
        </xdr:to>
        <xdr:pic>
          <xdr:nvPicPr>
            <xdr:cNvPr id="34" name="図 33"/>
            <xdr:cNvPicPr>
              <a:picLocks noChangeArrowheads="1"/>
              <a:extLst>
                <a:ext uri="{84589F7E-364E-4C9E-8A38-B11213B215E9}">
                  <a14:cameraTool cellRange="mondai_1" spid="_x0000_s6061"/>
                </a:ext>
              </a:extLst>
            </xdr:cNvPicPr>
          </xdr:nvPicPr>
          <xdr:blipFill>
            <a:blip xmlns:r="http://schemas.openxmlformats.org/officeDocument/2006/relationships" r:embed="rId1"/>
            <a:srcRect/>
            <a:stretch>
              <a:fillRect/>
            </a:stretch>
          </xdr:blipFill>
          <xdr:spPr bwMode="auto">
            <a:xfrm>
              <a:off x="5414596"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48</xdr:col>
          <xdr:colOff>2490</xdr:colOff>
          <xdr:row>3</xdr:row>
          <xdr:rowOff>3486</xdr:rowOff>
        </xdr:from>
        <xdr:to>
          <xdr:col>54</xdr:col>
          <xdr:colOff>0</xdr:colOff>
          <xdr:row>4</xdr:row>
          <xdr:rowOff>1</xdr:rowOff>
        </xdr:to>
        <xdr:pic>
          <xdr:nvPicPr>
            <xdr:cNvPr id="36" name="図 35"/>
            <xdr:cNvPicPr>
              <a:picLocks noChangeArrowheads="1"/>
              <a:extLst>
                <a:ext uri="{84589F7E-364E-4C9E-8A38-B11213B215E9}">
                  <a14:cameraTool cellRange="mondai_1" spid="_x0000_s6062"/>
                </a:ext>
              </a:extLst>
            </xdr:cNvPicPr>
          </xdr:nvPicPr>
          <xdr:blipFill>
            <a:blip xmlns:r="http://schemas.openxmlformats.org/officeDocument/2006/relationships" r:embed="rId1"/>
            <a:srcRect/>
            <a:stretch>
              <a:fillRect/>
            </a:stretch>
          </xdr:blipFill>
          <xdr:spPr bwMode="auto">
            <a:xfrm>
              <a:off x="6186413" y="1490851"/>
              <a:ext cx="759510" cy="7951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54</xdr:col>
          <xdr:colOff>0</xdr:colOff>
          <xdr:row>3</xdr:row>
          <xdr:rowOff>3486</xdr:rowOff>
        </xdr:from>
        <xdr:to>
          <xdr:col>60</xdr:col>
          <xdr:colOff>0</xdr:colOff>
          <xdr:row>4</xdr:row>
          <xdr:rowOff>1</xdr:rowOff>
        </xdr:to>
        <xdr:pic>
          <xdr:nvPicPr>
            <xdr:cNvPr id="38" name="図 37"/>
            <xdr:cNvPicPr>
              <a:picLocks noChangeArrowheads="1"/>
              <a:extLst>
                <a:ext uri="{84589F7E-364E-4C9E-8A38-B11213B215E9}">
                  <a14:cameraTool cellRange="mondai_1" spid="_x0000_s6063"/>
                </a:ext>
              </a:extLst>
            </xdr:cNvPicPr>
          </xdr:nvPicPr>
          <xdr:blipFill>
            <a:blip xmlns:r="http://schemas.openxmlformats.org/officeDocument/2006/relationships" r:embed="rId1"/>
            <a:srcRect/>
            <a:stretch>
              <a:fillRect/>
            </a:stretch>
          </xdr:blipFill>
          <xdr:spPr bwMode="auto">
            <a:xfrm>
              <a:off x="6945923" y="1490851"/>
              <a:ext cx="783981" cy="7951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60</xdr:col>
          <xdr:colOff>0</xdr:colOff>
          <xdr:row>3</xdr:row>
          <xdr:rowOff>0</xdr:rowOff>
        </xdr:from>
        <xdr:to>
          <xdr:col>66</xdr:col>
          <xdr:colOff>0</xdr:colOff>
          <xdr:row>4</xdr:row>
          <xdr:rowOff>0</xdr:rowOff>
        </xdr:to>
        <xdr:pic>
          <xdr:nvPicPr>
            <xdr:cNvPr id="39" name="図 38"/>
            <xdr:cNvPicPr>
              <a:picLocks noChangeArrowheads="1"/>
              <a:extLst>
                <a:ext uri="{84589F7E-364E-4C9E-8A38-B11213B215E9}">
                  <a14:cameraTool cellRange="mondai_1" spid="_x0000_s6064"/>
                </a:ext>
              </a:extLst>
            </xdr:cNvPicPr>
          </xdr:nvPicPr>
          <xdr:blipFill>
            <a:blip xmlns:r="http://schemas.openxmlformats.org/officeDocument/2006/relationships" r:embed="rId1"/>
            <a:srcRect/>
            <a:stretch>
              <a:fillRect/>
            </a:stretch>
          </xdr:blipFill>
          <xdr:spPr bwMode="auto">
            <a:xfrm>
              <a:off x="7729904" y="1487365"/>
              <a:ext cx="769327"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66</xdr:col>
          <xdr:colOff>0</xdr:colOff>
          <xdr:row>3</xdr:row>
          <xdr:rowOff>0</xdr:rowOff>
        </xdr:from>
        <xdr:to>
          <xdr:col>72</xdr:col>
          <xdr:colOff>0</xdr:colOff>
          <xdr:row>4</xdr:row>
          <xdr:rowOff>0</xdr:rowOff>
        </xdr:to>
        <xdr:pic>
          <xdr:nvPicPr>
            <xdr:cNvPr id="40" name="図 39"/>
            <xdr:cNvPicPr>
              <a:picLocks noChangeArrowheads="1"/>
              <a:extLst>
                <a:ext uri="{84589F7E-364E-4C9E-8A38-B11213B215E9}">
                  <a14:cameraTool cellRange="mondai_1" spid="_x0000_s6065"/>
                </a:ext>
              </a:extLst>
            </xdr:cNvPicPr>
          </xdr:nvPicPr>
          <xdr:blipFill>
            <a:blip xmlns:r="http://schemas.openxmlformats.org/officeDocument/2006/relationships" r:embed="rId1"/>
            <a:srcRect/>
            <a:stretch>
              <a:fillRect/>
            </a:stretch>
          </xdr:blipFill>
          <xdr:spPr bwMode="auto">
            <a:xfrm>
              <a:off x="8499231" y="1487365"/>
              <a:ext cx="762000"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72</xdr:col>
          <xdr:colOff>0</xdr:colOff>
          <xdr:row>3</xdr:row>
          <xdr:rowOff>0</xdr:rowOff>
        </xdr:from>
        <xdr:to>
          <xdr:col>77</xdr:col>
          <xdr:colOff>124557</xdr:colOff>
          <xdr:row>4</xdr:row>
          <xdr:rowOff>0</xdr:rowOff>
        </xdr:to>
        <xdr:pic>
          <xdr:nvPicPr>
            <xdr:cNvPr id="42" name="図 41"/>
            <xdr:cNvPicPr>
              <a:picLocks noChangeArrowheads="1"/>
              <a:extLst>
                <a:ext uri="{84589F7E-364E-4C9E-8A38-B11213B215E9}">
                  <a14:cameraTool cellRange="mondai_1" spid="_x0000_s6066"/>
                </a:ext>
              </a:extLst>
            </xdr:cNvPicPr>
          </xdr:nvPicPr>
          <xdr:blipFill>
            <a:blip xmlns:r="http://schemas.openxmlformats.org/officeDocument/2006/relationships" r:embed="rId1"/>
            <a:srcRect/>
            <a:stretch>
              <a:fillRect/>
            </a:stretch>
          </xdr:blipFill>
          <xdr:spPr bwMode="auto">
            <a:xfrm>
              <a:off x="9261231" y="1487365"/>
              <a:ext cx="783980"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78</xdr:col>
          <xdr:colOff>0</xdr:colOff>
          <xdr:row>3</xdr:row>
          <xdr:rowOff>0</xdr:rowOff>
        </xdr:from>
        <xdr:to>
          <xdr:col>83</xdr:col>
          <xdr:colOff>131884</xdr:colOff>
          <xdr:row>4</xdr:row>
          <xdr:rowOff>0</xdr:rowOff>
        </xdr:to>
        <xdr:pic>
          <xdr:nvPicPr>
            <xdr:cNvPr id="43" name="図 42"/>
            <xdr:cNvPicPr>
              <a:picLocks noChangeArrowheads="1"/>
              <a:extLst>
                <a:ext uri="{84589F7E-364E-4C9E-8A38-B11213B215E9}">
                  <a14:cameraTool cellRange="mondai_1" spid="_x0000_s6067"/>
                </a:ext>
              </a:extLst>
            </xdr:cNvPicPr>
          </xdr:nvPicPr>
          <xdr:blipFill>
            <a:blip xmlns:r="http://schemas.openxmlformats.org/officeDocument/2006/relationships" r:embed="rId1"/>
            <a:srcRect/>
            <a:stretch>
              <a:fillRect/>
            </a:stretch>
          </xdr:blipFill>
          <xdr:spPr bwMode="auto">
            <a:xfrm>
              <a:off x="10045212" y="1487365"/>
              <a:ext cx="769326"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83</xdr:col>
          <xdr:colOff>131884</xdr:colOff>
          <xdr:row>2</xdr:row>
          <xdr:rowOff>293076</xdr:rowOff>
        </xdr:from>
        <xdr:to>
          <xdr:col>90</xdr:col>
          <xdr:colOff>1</xdr:colOff>
          <xdr:row>4</xdr:row>
          <xdr:rowOff>0</xdr:rowOff>
        </xdr:to>
        <xdr:pic>
          <xdr:nvPicPr>
            <xdr:cNvPr id="45" name="図 44"/>
            <xdr:cNvPicPr>
              <a:picLocks noChangeArrowheads="1"/>
              <a:extLst>
                <a:ext uri="{84589F7E-364E-4C9E-8A38-B11213B215E9}">
                  <a14:cameraTool cellRange="mondai_1" spid="_x0000_s6068"/>
                </a:ext>
              </a:extLst>
            </xdr:cNvPicPr>
          </xdr:nvPicPr>
          <xdr:blipFill>
            <a:blip xmlns:r="http://schemas.openxmlformats.org/officeDocument/2006/relationships" r:embed="rId1"/>
            <a:srcRect/>
            <a:stretch>
              <a:fillRect/>
            </a:stretch>
          </xdr:blipFill>
          <xdr:spPr bwMode="auto">
            <a:xfrm>
              <a:off x="10814538" y="1487364"/>
              <a:ext cx="762001" cy="798636"/>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16</xdr:col>
      <xdr:colOff>90921</xdr:colOff>
      <xdr:row>0</xdr:row>
      <xdr:rowOff>0</xdr:rowOff>
    </xdr:from>
    <xdr:to>
      <xdr:col>24</xdr:col>
      <xdr:colOff>90921</xdr:colOff>
      <xdr:row>16</xdr:row>
      <xdr:rowOff>86591</xdr:rowOff>
    </xdr:to>
    <xdr:sp macro="" textlink="">
      <xdr:nvSpPr>
        <xdr:cNvPr id="4" name="四角形吹き出し 3"/>
        <xdr:cNvSpPr/>
      </xdr:nvSpPr>
      <xdr:spPr>
        <a:xfrm>
          <a:off x="6853671" y="0"/>
          <a:ext cx="2078182" cy="3238500"/>
        </a:xfrm>
        <a:prstGeom prst="wedgeRectCallout">
          <a:avLst>
            <a:gd name="adj1" fmla="val -19352"/>
            <a:gd name="adj2" fmla="val 68597"/>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１，左の表に</a:t>
          </a:r>
          <a:r>
            <a:rPr kumimoji="1" lang="en-US" altLang="ja-JP" sz="1200">
              <a:solidFill>
                <a:schemeClr val="tx1"/>
              </a:solidFill>
              <a:latin typeface="UD デジタル 教科書体 N-R" panose="02020400000000000000" pitchFamily="17" charset="-128"/>
              <a:ea typeface="UD デジタル 教科書体 N-R" panose="02020400000000000000" pitchFamily="17" charset="-128"/>
            </a:rPr>
            <a:t>11</a:t>
          </a:r>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文字までの問題文を入れてください。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２，上の漢字欄に覚えさせたい漢字（マスクで隠す漢字）を入れてください。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３，問題文を入れるとその右側に問題文が一文字ずつ分かれて表示されます。その漢字にふり仮名を入れてください。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４，準備完了。「印刷シート」に行ってください。</a:t>
          </a:r>
        </a:p>
      </xdr:txBody>
    </xdr:sp>
    <xdr:clientData/>
  </xdr:twoCellAnchor>
  <xdr:oneCellAnchor>
    <xdr:from>
      <xdr:col>16</xdr:col>
      <xdr:colOff>247650</xdr:colOff>
      <xdr:row>19</xdr:row>
      <xdr:rowOff>155864</xdr:rowOff>
    </xdr:from>
    <xdr:ext cx="544343" cy="878568"/>
    <xdr:pic>
      <xdr:nvPicPr>
        <xdr:cNvPr id="5" name="Picture 3"/>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10400" y="3896591"/>
          <a:ext cx="544343" cy="8785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3.xml><?xml version="1.0" encoding="utf-8"?>
<xdr:wsDr xmlns:xdr="http://schemas.openxmlformats.org/drawingml/2006/spreadsheetDrawing" xmlns:a="http://schemas.openxmlformats.org/drawingml/2006/main">
  <xdr:twoCellAnchor>
    <xdr:from>
      <xdr:col>3</xdr:col>
      <xdr:colOff>21000</xdr:colOff>
      <xdr:row>1</xdr:row>
      <xdr:rowOff>180976</xdr:rowOff>
    </xdr:from>
    <xdr:to>
      <xdr:col>6</xdr:col>
      <xdr:colOff>104775</xdr:colOff>
      <xdr:row>1</xdr:row>
      <xdr:rowOff>653176</xdr:rowOff>
    </xdr:to>
    <xdr:sp macro="" textlink="">
      <xdr:nvSpPr>
        <xdr:cNvPr id="3" name="円/楕円 2"/>
        <xdr:cNvSpPr/>
      </xdr:nvSpPr>
      <xdr:spPr>
        <a:xfrm>
          <a:off x="840150" y="981076"/>
          <a:ext cx="483825" cy="472200"/>
        </a:xfrm>
        <a:prstGeom prst="ellipse">
          <a:avLst/>
        </a:prstGeom>
        <a:solidFill>
          <a:schemeClr val="bg1"/>
        </a:solid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123825</xdr:colOff>
      <xdr:row>2</xdr:row>
      <xdr:rowOff>266700</xdr:rowOff>
    </xdr:from>
    <xdr:to>
      <xdr:col>6</xdr:col>
      <xdr:colOff>11775</xdr:colOff>
      <xdr:row>2</xdr:row>
      <xdr:rowOff>554700</xdr:rowOff>
    </xdr:to>
    <xdr:sp macro="" textlink="">
      <xdr:nvSpPr>
        <xdr:cNvPr id="5" name="円/楕円 4"/>
        <xdr:cNvSpPr/>
      </xdr:nvSpPr>
      <xdr:spPr>
        <a:xfrm flipV="1">
          <a:off x="942975" y="1866900"/>
          <a:ext cx="288000" cy="288000"/>
        </a:xfrm>
        <a:prstGeom prst="ellipse">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kumimoji="1" lang="ja-JP" altLang="en-US" sz="1100"/>
        </a:p>
      </xdr:txBody>
    </xdr:sp>
    <xdr:clientData/>
  </xdr:twoCellAnchor>
  <xdr:twoCellAnchor>
    <xdr:from>
      <xdr:col>2</xdr:col>
      <xdr:colOff>0</xdr:colOff>
      <xdr:row>3</xdr:row>
      <xdr:rowOff>1</xdr:rowOff>
    </xdr:from>
    <xdr:to>
      <xdr:col>8</xdr:col>
      <xdr:colOff>0</xdr:colOff>
      <xdr:row>4</xdr:row>
      <xdr:rowOff>0</xdr:rowOff>
    </xdr:to>
    <xdr:sp macro="" textlink="">
      <xdr:nvSpPr>
        <xdr:cNvPr id="6" name="正方形/長方形 5"/>
        <xdr:cNvSpPr/>
      </xdr:nvSpPr>
      <xdr:spPr>
        <a:xfrm>
          <a:off x="685800" y="1600201"/>
          <a:ext cx="1200150" cy="800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19050</xdr:colOff>
      <xdr:row>0</xdr:row>
      <xdr:rowOff>19049</xdr:rowOff>
    </xdr:from>
    <xdr:to>
      <xdr:col>7</xdr:col>
      <xdr:colOff>114300</xdr:colOff>
      <xdr:row>0</xdr:row>
      <xdr:rowOff>771524</xdr:rowOff>
    </xdr:to>
    <xdr:sp macro="" textlink="">
      <xdr:nvSpPr>
        <xdr:cNvPr id="8" name="正方形/長方形 7"/>
        <xdr:cNvSpPr/>
      </xdr:nvSpPr>
      <xdr:spPr>
        <a:xfrm>
          <a:off x="1390650" y="19049"/>
          <a:ext cx="762000" cy="752475"/>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4400">
              <a:solidFill>
                <a:schemeClr val="tx1"/>
              </a:solidFill>
              <a:latin typeface="UD デジタル 教科書体 N-R" panose="02020400000000000000" pitchFamily="17" charset="-128"/>
              <a:ea typeface="UD デジタル 教科書体 N-R" panose="02020400000000000000" pitchFamily="17" charset="-128"/>
            </a:rPr>
            <a:t>？</a:t>
          </a:r>
        </a:p>
      </xdr:txBody>
    </xdr:sp>
    <xdr:clientData/>
  </xdr:twoCellAnchor>
  <xdr:twoCellAnchor>
    <xdr:from>
      <xdr:col>2</xdr:col>
      <xdr:colOff>0</xdr:colOff>
      <xdr:row>0</xdr:row>
      <xdr:rowOff>0</xdr:rowOff>
    </xdr:from>
    <xdr:to>
      <xdr:col>8</xdr:col>
      <xdr:colOff>0</xdr:colOff>
      <xdr:row>1</xdr:row>
      <xdr:rowOff>0</xdr:rowOff>
    </xdr:to>
    <xdr:sp macro="" textlink="">
      <xdr:nvSpPr>
        <xdr:cNvPr id="10" name="正方形/長方形 9"/>
        <xdr:cNvSpPr/>
      </xdr:nvSpPr>
      <xdr:spPr>
        <a:xfrm>
          <a:off x="685800" y="0"/>
          <a:ext cx="1200150" cy="800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2</xdr:col>
      <xdr:colOff>19049</xdr:colOff>
      <xdr:row>4</xdr:row>
      <xdr:rowOff>19050</xdr:rowOff>
    </xdr:from>
    <xdr:to>
      <xdr:col>7</xdr:col>
      <xdr:colOff>114300</xdr:colOff>
      <xdr:row>5</xdr:row>
      <xdr:rowOff>3016</xdr:rowOff>
    </xdr:to>
    <xdr:pic>
      <xdr:nvPicPr>
        <xdr:cNvPr id="7" name="図 6"/>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90649" y="3219450"/>
          <a:ext cx="762001" cy="78406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133349</xdr:colOff>
      <xdr:row>5</xdr:row>
      <xdr:rowOff>142875</xdr:rowOff>
    </xdr:from>
    <xdr:to>
      <xdr:col>7</xdr:col>
      <xdr:colOff>21678</xdr:colOff>
      <xdr:row>5</xdr:row>
      <xdr:rowOff>617702</xdr:rowOff>
    </xdr:to>
    <xdr:pic>
      <xdr:nvPicPr>
        <xdr:cNvPr id="11" name="図 10"/>
        <xdr:cNvPicPr>
          <a:picLocks noChangeAspect="1" noChangeArrowheads="1"/>
        </xdr:cNvPicPr>
      </xdr:nvPicPr>
      <xdr:blipFill>
        <a:blip xmlns:r="http://schemas.openxmlformats.org/officeDocument/2006/relationships" r:embed="rId2" cstate="print">
          <a:clrChange>
            <a:clrFrom>
              <a:srgbClr val="B5E61D"/>
            </a:clrFrom>
            <a:clrTo>
              <a:srgbClr val="B5E61D">
                <a:alpha val="0"/>
              </a:srgbClr>
            </a:clrTo>
          </a:clrChange>
          <a:extLst>
            <a:ext uri="{28A0092B-C50C-407E-A947-70E740481C1C}">
              <a14:useLocalDpi xmlns:a14="http://schemas.microsoft.com/office/drawing/2010/main" val="0"/>
            </a:ext>
          </a:extLst>
        </a:blip>
        <a:srcRect/>
        <a:stretch>
          <a:fillRect/>
        </a:stretch>
      </xdr:blipFill>
      <xdr:spPr bwMode="auto">
        <a:xfrm>
          <a:off x="1504949" y="4143375"/>
          <a:ext cx="555079" cy="4748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95250</xdr:colOff>
      <xdr:row>6</xdr:row>
      <xdr:rowOff>238125</xdr:rowOff>
    </xdr:from>
    <xdr:to>
      <xdr:col>6</xdr:col>
      <xdr:colOff>30789</xdr:colOff>
      <xdr:row>6</xdr:row>
      <xdr:rowOff>527685</xdr:rowOff>
    </xdr:to>
    <xdr:pic>
      <xdr:nvPicPr>
        <xdr:cNvPr id="12" name="図 11"/>
        <xdr:cNvPicPr>
          <a:picLocks noChangeAspect="1" noChangeArrowheads="1"/>
        </xdr:cNvPicPr>
      </xdr:nvPicPr>
      <xdr:blipFill>
        <a:blip xmlns:r="http://schemas.openxmlformats.org/officeDocument/2006/relationships" r:embed="rId3" cstate="print">
          <a:clrChange>
            <a:clrFrom>
              <a:srgbClr val="FFC90E"/>
            </a:clrFrom>
            <a:clrTo>
              <a:srgbClr val="FFC90E">
                <a:alpha val="0"/>
              </a:srgbClr>
            </a:clrTo>
          </a:clrChange>
          <a:extLst>
            <a:ext uri="{28A0092B-C50C-407E-A947-70E740481C1C}">
              <a14:useLocalDpi xmlns:a14="http://schemas.microsoft.com/office/drawing/2010/main" val="0"/>
            </a:ext>
          </a:extLst>
        </a:blip>
        <a:srcRect/>
        <a:stretch>
          <a:fillRect/>
        </a:stretch>
      </xdr:blipFill>
      <xdr:spPr bwMode="auto">
        <a:xfrm>
          <a:off x="1600200" y="5038725"/>
          <a:ext cx="335589" cy="2895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A25"/>
  <sheetViews>
    <sheetView showGridLines="0" showRowColHeaders="0" tabSelected="1" zoomScale="60" zoomScaleNormal="60" workbookViewId="0">
      <selection activeCell="BH2" sqref="BH2"/>
    </sheetView>
  </sheetViews>
  <sheetFormatPr defaultColWidth="9" defaultRowHeight="15" x14ac:dyDescent="0.15"/>
  <cols>
    <col min="1" max="5" width="1.75" style="1" customWidth="1"/>
    <col min="6" max="9" width="1.625" style="1" customWidth="1"/>
    <col min="10" max="14" width="1.75" style="1" customWidth="1"/>
    <col min="15" max="18" width="1.625" style="1" customWidth="1"/>
    <col min="19" max="23" width="1.75" style="1" customWidth="1"/>
    <col min="24" max="27" width="1.625" style="1" customWidth="1"/>
    <col min="28" max="32" width="1.75" style="1" customWidth="1"/>
    <col min="33" max="36" width="1.625" style="1" customWidth="1"/>
    <col min="37" max="41" width="1.75" style="1" customWidth="1"/>
    <col min="42" max="45" width="1.625" style="1" customWidth="1"/>
    <col min="46" max="50" width="1.75" style="1" customWidth="1"/>
    <col min="51" max="54" width="1.625" style="1" customWidth="1"/>
    <col min="55" max="59" width="1.75" style="1" customWidth="1"/>
    <col min="60" max="63" width="1.625" style="1" customWidth="1"/>
    <col min="64" max="68" width="1.75" style="1" customWidth="1"/>
    <col min="69" max="72" width="1.625" style="1" customWidth="1"/>
    <col min="73" max="77" width="1.75" style="1" customWidth="1"/>
    <col min="78" max="81" width="1.625" style="1" customWidth="1"/>
    <col min="82" max="86" width="1.75" style="1" customWidth="1"/>
    <col min="87" max="90" width="1.625" style="1" customWidth="1"/>
    <col min="91" max="189" width="1.75" style="1" customWidth="1"/>
    <col min="190" max="16384" width="9" style="1"/>
  </cols>
  <sheetData>
    <row r="1" spans="1:183" ht="46.5" x14ac:dyDescent="0.15">
      <c r="A1" s="50" t="s">
        <v>6</v>
      </c>
      <c r="B1" s="40"/>
      <c r="C1" s="40"/>
      <c r="D1" s="40"/>
      <c r="E1" s="40"/>
      <c r="F1" s="40"/>
      <c r="G1" s="40"/>
      <c r="H1" s="40"/>
      <c r="I1" s="40"/>
      <c r="J1" s="40"/>
      <c r="K1" s="41"/>
      <c r="L1" s="41"/>
      <c r="M1" s="41"/>
      <c r="N1" s="39" t="s">
        <v>1</v>
      </c>
      <c r="O1" s="40"/>
      <c r="P1" s="40"/>
      <c r="Q1" s="40"/>
      <c r="R1" s="40"/>
      <c r="S1" s="40"/>
      <c r="T1" s="40"/>
      <c r="U1" s="40"/>
      <c r="V1" s="40"/>
      <c r="W1" s="40"/>
      <c r="X1" s="41"/>
      <c r="Y1" s="41"/>
      <c r="Z1" s="41"/>
      <c r="AA1" s="39" t="s">
        <v>9</v>
      </c>
      <c r="AB1" s="40"/>
      <c r="AC1" s="40"/>
      <c r="AD1" s="40"/>
      <c r="AE1" s="40"/>
      <c r="AF1" s="40"/>
      <c r="AG1" s="40"/>
      <c r="AH1" s="40"/>
      <c r="AI1" s="40"/>
      <c r="AJ1" s="40"/>
      <c r="AK1" s="41"/>
      <c r="AL1" s="41"/>
      <c r="AM1" s="41"/>
      <c r="AN1" s="39" t="s">
        <v>5</v>
      </c>
      <c r="AO1" s="40"/>
      <c r="AP1" s="40"/>
      <c r="AQ1" s="40"/>
      <c r="AR1" s="40"/>
      <c r="AS1" s="40"/>
      <c r="AT1" s="40"/>
      <c r="AU1" s="40"/>
      <c r="AV1" s="40"/>
      <c r="AW1" s="40"/>
      <c r="AX1" s="41"/>
      <c r="AY1" s="41"/>
      <c r="AZ1" s="45"/>
      <c r="EB1" s="39" t="s">
        <v>3</v>
      </c>
      <c r="EC1" s="40"/>
      <c r="ED1" s="40"/>
      <c r="EE1" s="40"/>
      <c r="EF1" s="40"/>
      <c r="EG1" s="40"/>
      <c r="EH1" s="40"/>
      <c r="EI1" s="40"/>
      <c r="EJ1" s="40"/>
      <c r="EK1" s="40"/>
      <c r="EL1" s="41"/>
      <c r="EM1" s="41"/>
      <c r="EN1" s="41"/>
      <c r="EO1" s="27" t="str">
        <f>VLOOKUP(A2,mask,2,FALSE)</f>
        <v>no</v>
      </c>
      <c r="EP1" s="28"/>
      <c r="EQ1" s="28"/>
      <c r="ER1" s="28"/>
      <c r="ES1" s="28"/>
      <c r="ET1" s="28"/>
      <c r="EU1" s="28"/>
      <c r="EV1" s="28"/>
      <c r="EW1" s="28"/>
    </row>
    <row r="2" spans="1:183" ht="47.25" thickBot="1" x14ac:dyDescent="0.2">
      <c r="A2" s="51" t="s">
        <v>28</v>
      </c>
      <c r="B2" s="52"/>
      <c r="C2" s="52"/>
      <c r="D2" s="52"/>
      <c r="E2" s="52"/>
      <c r="F2" s="52"/>
      <c r="G2" s="52"/>
      <c r="H2" s="52"/>
      <c r="I2" s="52"/>
      <c r="J2" s="52"/>
      <c r="K2" s="52"/>
      <c r="L2" s="52"/>
      <c r="M2" s="53"/>
      <c r="N2" s="46" t="s">
        <v>8</v>
      </c>
      <c r="O2" s="47"/>
      <c r="P2" s="47"/>
      <c r="Q2" s="47"/>
      <c r="R2" s="47"/>
      <c r="S2" s="47"/>
      <c r="T2" s="47"/>
      <c r="U2" s="47"/>
      <c r="V2" s="47"/>
      <c r="W2" s="48"/>
      <c r="X2" s="48"/>
      <c r="Y2" s="48"/>
      <c r="Z2" s="48"/>
      <c r="AA2" s="46" t="s">
        <v>26</v>
      </c>
      <c r="AB2" s="47"/>
      <c r="AC2" s="47"/>
      <c r="AD2" s="47"/>
      <c r="AE2" s="47"/>
      <c r="AF2" s="47"/>
      <c r="AG2" s="47"/>
      <c r="AH2" s="47"/>
      <c r="AI2" s="47"/>
      <c r="AJ2" s="48"/>
      <c r="AK2" s="48"/>
      <c r="AL2" s="48"/>
      <c r="AM2" s="48"/>
      <c r="AN2" s="46" t="s">
        <v>27</v>
      </c>
      <c r="AO2" s="47"/>
      <c r="AP2" s="47"/>
      <c r="AQ2" s="47"/>
      <c r="AR2" s="47"/>
      <c r="AS2" s="47"/>
      <c r="AT2" s="47"/>
      <c r="AU2" s="47"/>
      <c r="AV2" s="47"/>
      <c r="AW2" s="48"/>
      <c r="AX2" s="48"/>
      <c r="AY2" s="48"/>
      <c r="AZ2" s="49"/>
      <c r="EB2" s="42" t="s">
        <v>4</v>
      </c>
      <c r="EC2" s="43"/>
      <c r="ED2" s="43"/>
      <c r="EE2" s="43"/>
      <c r="EF2" s="43"/>
      <c r="EG2" s="43"/>
      <c r="EH2" s="43"/>
      <c r="EI2" s="43"/>
      <c r="EJ2" s="43"/>
      <c r="EK2" s="43"/>
      <c r="EL2" s="43"/>
      <c r="EM2" s="43"/>
      <c r="EN2" s="44"/>
    </row>
    <row r="3" spans="1:183" ht="23.25" customHeight="1" x14ac:dyDescent="0.15"/>
    <row r="4" spans="1:183" ht="63" customHeight="1" thickBot="1" x14ac:dyDescent="0.2">
      <c r="A4" s="29" t="str">
        <f>問題文入力シート!B2</f>
        <v>放</v>
      </c>
      <c r="B4" s="30"/>
      <c r="C4" s="30"/>
      <c r="D4" s="30"/>
      <c r="E4" s="30"/>
      <c r="F4" s="30"/>
      <c r="G4" s="29" t="str">
        <f>問題文入力シート!C2</f>
        <v>速</v>
      </c>
      <c r="H4" s="30"/>
      <c r="I4" s="30"/>
      <c r="J4" s="30"/>
      <c r="K4" s="30"/>
      <c r="L4" s="30"/>
      <c r="M4" s="29" t="str">
        <f>問題文入力シート!D2</f>
        <v>神</v>
      </c>
      <c r="N4" s="30"/>
      <c r="O4" s="30"/>
      <c r="P4" s="30"/>
      <c r="Q4" s="30"/>
      <c r="R4" s="30"/>
      <c r="S4" s="29" t="str">
        <f>問題文入力シート!E2</f>
        <v>箱</v>
      </c>
      <c r="T4" s="30"/>
      <c r="U4" s="30"/>
      <c r="V4" s="30"/>
      <c r="W4" s="30"/>
      <c r="X4" s="30"/>
      <c r="Y4" s="29" t="str">
        <f>問題文入力シート!F2</f>
        <v>湯</v>
      </c>
      <c r="Z4" s="30"/>
      <c r="AA4" s="30"/>
      <c r="AB4" s="30"/>
      <c r="AC4" s="30"/>
      <c r="AD4" s="30"/>
      <c r="AE4" s="29" t="str">
        <f>問題文入力シート!G2</f>
        <v>場</v>
      </c>
      <c r="AF4" s="30"/>
      <c r="AG4" s="30"/>
      <c r="AH4" s="30"/>
      <c r="AI4" s="30"/>
      <c r="AJ4" s="30"/>
      <c r="AK4" s="29" t="str">
        <f>問題文入力シート!H2</f>
        <v>薬</v>
      </c>
      <c r="AL4" s="30"/>
      <c r="AM4" s="30"/>
      <c r="AN4" s="30"/>
      <c r="AO4" s="30"/>
      <c r="AP4" s="30"/>
      <c r="AQ4" s="29" t="str">
        <f>問題文入力シート!I2</f>
        <v>送</v>
      </c>
      <c r="AR4" s="30"/>
      <c r="AS4" s="30"/>
      <c r="AT4" s="30"/>
      <c r="AU4" s="30"/>
      <c r="AV4" s="30"/>
      <c r="AW4" s="29" t="str">
        <f>問題文入力シート!J2</f>
        <v>様</v>
      </c>
      <c r="AX4" s="30"/>
      <c r="AY4" s="30"/>
      <c r="AZ4" s="30"/>
      <c r="BA4" s="30"/>
      <c r="BB4" s="30"/>
      <c r="BC4" s="29" t="str">
        <f>問題文入力シート!K2</f>
        <v>話</v>
      </c>
      <c r="BD4" s="30"/>
      <c r="BE4" s="30"/>
      <c r="BF4" s="30"/>
      <c r="BG4" s="30"/>
      <c r="BH4" s="30"/>
      <c r="BI4" s="29" t="str">
        <f>問題文入力シート!L2</f>
        <v>社</v>
      </c>
      <c r="BJ4" s="30"/>
      <c r="BK4" s="30"/>
      <c r="BL4" s="30"/>
      <c r="BM4" s="30"/>
      <c r="BN4" s="30"/>
      <c r="BO4" s="29" t="str">
        <f>問題文入力シート!M2</f>
        <v>祭</v>
      </c>
      <c r="BP4" s="30"/>
      <c r="BQ4" s="30"/>
      <c r="BR4" s="30"/>
      <c r="BS4" s="30"/>
      <c r="BT4" s="30"/>
      <c r="BU4" s="29" t="str">
        <f>問題文入力シート!N2</f>
        <v>度</v>
      </c>
      <c r="BV4" s="30"/>
      <c r="BW4" s="30"/>
      <c r="BX4" s="30"/>
      <c r="BY4" s="30"/>
      <c r="BZ4" s="30"/>
      <c r="CA4" s="29" t="str">
        <f>問題文入力シート!O2</f>
        <v>読</v>
      </c>
      <c r="CB4" s="30"/>
      <c r="CC4" s="30"/>
      <c r="CD4" s="30"/>
      <c r="CE4" s="30"/>
      <c r="CF4" s="30"/>
      <c r="CG4" s="29" t="str">
        <f>問題文入力シート!P2</f>
        <v>本</v>
      </c>
      <c r="CH4" s="30"/>
      <c r="CI4" s="30"/>
      <c r="CJ4" s="30"/>
      <c r="CK4" s="30"/>
      <c r="CL4" s="31"/>
      <c r="CM4" s="32" t="s">
        <v>2</v>
      </c>
      <c r="CN4" s="33"/>
      <c r="CO4" s="33"/>
      <c r="CP4" s="34"/>
      <c r="EC4" s="5"/>
      <c r="EW4" s="5"/>
      <c r="FQ4" s="5"/>
    </row>
    <row r="5" spans="1:183" ht="52.5" customHeight="1" thickBot="1" x14ac:dyDescent="0.2">
      <c r="A5" s="23" t="str">
        <f ca="1">VLOOKUP(10,list,14,FALSE)</f>
        <v>湖</v>
      </c>
      <c r="B5" s="24"/>
      <c r="C5" s="24"/>
      <c r="D5" s="24"/>
      <c r="E5" s="25"/>
      <c r="F5" s="26" t="str">
        <f ca="1">IF($AA$2="入れる",VLOOKUP(10,list,3,FALSE),"")</f>
        <v>みずうみ</v>
      </c>
      <c r="G5" s="26"/>
      <c r="H5" s="26"/>
      <c r="I5" s="26"/>
      <c r="J5" s="23" t="str">
        <f ca="1">VLOOKUP(9,list,14,FALSE)</f>
        <v>カ</v>
      </c>
      <c r="K5" s="24"/>
      <c r="L5" s="24"/>
      <c r="M5" s="24"/>
      <c r="N5" s="25"/>
      <c r="O5" s="26" t="str">
        <f ca="1">IF($AA$2="入れる",VLOOKUP(9,list,3,FALSE),"")</f>
        <v/>
      </c>
      <c r="P5" s="26"/>
      <c r="Q5" s="26"/>
      <c r="R5" s="26"/>
      <c r="S5" s="23" t="str">
        <f ca="1">VLOOKUP(8,list,14,FALSE)</f>
        <v>全</v>
      </c>
      <c r="T5" s="24"/>
      <c r="U5" s="24"/>
      <c r="V5" s="24"/>
      <c r="W5" s="25"/>
      <c r="X5" s="26" t="str">
        <f ca="1">IF($AA$2="入れる",VLOOKUP(8,list,3,FALSE),"")</f>
        <v>ぜん</v>
      </c>
      <c r="Y5" s="26"/>
      <c r="Z5" s="26"/>
      <c r="AA5" s="26"/>
      <c r="AB5" s="23" t="str">
        <f ca="1">VLOOKUP(7,list,14,FALSE)</f>
        <v>放</v>
      </c>
      <c r="AC5" s="24"/>
      <c r="AD5" s="24"/>
      <c r="AE5" s="24"/>
      <c r="AF5" s="25"/>
      <c r="AG5" s="26" t="str">
        <f ca="1">IF($AA$2="入れる",VLOOKUP(7,list,3,FALSE),"")</f>
        <v>ほう</v>
      </c>
      <c r="AH5" s="26"/>
      <c r="AI5" s="26"/>
      <c r="AJ5" s="26"/>
      <c r="AK5" s="23" t="str">
        <f ca="1">VLOOKUP(6,list,14,FALSE)</f>
        <v>医</v>
      </c>
      <c r="AL5" s="24"/>
      <c r="AM5" s="24"/>
      <c r="AN5" s="24"/>
      <c r="AO5" s="25"/>
      <c r="AP5" s="26" t="str">
        <f ca="1">IF($AA$2="入れる",VLOOKUP(6,list,3,FALSE),"")</f>
        <v>い</v>
      </c>
      <c r="AQ5" s="26"/>
      <c r="AR5" s="26"/>
      <c r="AS5" s="26"/>
      <c r="AT5" s="23" t="str">
        <f ca="1">VLOOKUP(5,list,14,FALSE)</f>
        <v>本</v>
      </c>
      <c r="AU5" s="24"/>
      <c r="AV5" s="24"/>
      <c r="AW5" s="24"/>
      <c r="AX5" s="25"/>
      <c r="AY5" s="26" t="str">
        <f ca="1">IF($AA$2="入れる",VLOOKUP(5,list,3,FALSE),"")</f>
        <v>ほん</v>
      </c>
      <c r="AZ5" s="26"/>
      <c r="BA5" s="26"/>
      <c r="BB5" s="26"/>
      <c r="BC5" s="23" t="str">
        <f ca="1">VLOOKUP(4,list,14,FALSE)</f>
        <v>ギ</v>
      </c>
      <c r="BD5" s="24"/>
      <c r="BE5" s="24"/>
      <c r="BF5" s="24"/>
      <c r="BG5" s="25"/>
      <c r="BH5" s="26" t="str">
        <f ca="1">IF($AA$2="入れる",VLOOKUP(4,list,3,FALSE),"")</f>
        <v/>
      </c>
      <c r="BI5" s="26"/>
      <c r="BJ5" s="26"/>
      <c r="BK5" s="26"/>
      <c r="BL5" s="23" t="str">
        <f ca="1">VLOOKUP(3,list,14,FALSE)</f>
        <v>車</v>
      </c>
      <c r="BM5" s="24"/>
      <c r="BN5" s="24"/>
      <c r="BO5" s="24"/>
      <c r="BP5" s="25"/>
      <c r="BQ5" s="26" t="str">
        <f ca="1">IF($AA$2="入れる",VLOOKUP(3,list,3,FALSE),"")</f>
        <v>くるま</v>
      </c>
      <c r="BR5" s="26"/>
      <c r="BS5" s="26"/>
      <c r="BT5" s="26"/>
      <c r="BU5" s="23" t="str">
        <f ca="1">VLOOKUP(2,list,14,FALSE)</f>
        <v>せ</v>
      </c>
      <c r="BV5" s="24"/>
      <c r="BW5" s="24"/>
      <c r="BX5" s="24"/>
      <c r="BY5" s="25"/>
      <c r="BZ5" s="26" t="str">
        <f ca="1">IF($AA$2="入れる",VLOOKUP(2,list,3,FALSE),"")</f>
        <v/>
      </c>
      <c r="CA5" s="26"/>
      <c r="CB5" s="26"/>
      <c r="CC5" s="26"/>
      <c r="CD5" s="23" t="str">
        <f ca="1">VLOOKUP(1,list,14,FALSE)</f>
        <v>山</v>
      </c>
      <c r="CE5" s="24"/>
      <c r="CF5" s="24"/>
      <c r="CG5" s="24"/>
      <c r="CH5" s="25"/>
      <c r="CI5" s="26" t="str">
        <f ca="1">IF($AA$2="入れる",VLOOKUP(1,list,3,FALSE),"")</f>
        <v>やま</v>
      </c>
      <c r="CJ5" s="26"/>
      <c r="CK5" s="26"/>
      <c r="CL5" s="26"/>
      <c r="CM5" s="32"/>
      <c r="CN5" s="33"/>
      <c r="CO5" s="33"/>
      <c r="CP5" s="34"/>
      <c r="ED5" s="20"/>
      <c r="EE5" s="20"/>
      <c r="EF5" s="20"/>
      <c r="EG5" s="20"/>
      <c r="EH5" s="20"/>
      <c r="EI5" s="20"/>
      <c r="EJ5" s="20"/>
      <c r="EK5" s="20"/>
      <c r="EL5" s="20"/>
      <c r="EM5" s="20"/>
      <c r="EN5" s="20"/>
      <c r="EO5" s="20"/>
      <c r="EP5" s="20"/>
      <c r="EQ5" s="20"/>
      <c r="ER5" s="20"/>
      <c r="ES5" s="20"/>
      <c r="ET5" s="20"/>
      <c r="EU5" s="20"/>
      <c r="EV5" s="20"/>
      <c r="EW5" s="20"/>
      <c r="EX5" s="20"/>
      <c r="EY5" s="20"/>
      <c r="EZ5" s="20"/>
      <c r="FA5" s="20"/>
      <c r="FB5" s="20"/>
      <c r="FC5" s="20"/>
      <c r="FD5" s="20"/>
      <c r="FE5" s="20"/>
      <c r="FF5" s="20"/>
      <c r="FG5" s="20"/>
      <c r="FH5" s="20"/>
      <c r="FI5" s="20"/>
      <c r="FJ5" s="20"/>
      <c r="FK5" s="20"/>
      <c r="FL5" s="20"/>
      <c r="FM5" s="20"/>
      <c r="FN5" s="20"/>
      <c r="FP5" s="2"/>
      <c r="FQ5" s="2"/>
      <c r="FR5" s="2"/>
      <c r="FS5" s="2"/>
      <c r="FT5" s="2"/>
      <c r="FU5" s="2"/>
      <c r="FV5" s="2"/>
      <c r="FW5" s="2"/>
      <c r="FX5" s="3"/>
      <c r="FY5" s="3"/>
      <c r="FZ5" s="3"/>
      <c r="GA5" s="3"/>
    </row>
    <row r="6" spans="1:183" ht="52.5" customHeight="1" thickBot="1" x14ac:dyDescent="0.2">
      <c r="A6" s="23" t="str">
        <f ca="1">VLOOKUP(10,list,15,FALSE)</f>
        <v>に</v>
      </c>
      <c r="B6" s="24"/>
      <c r="C6" s="24"/>
      <c r="D6" s="24"/>
      <c r="E6" s="25"/>
      <c r="F6" s="26" t="str">
        <f ca="1">IF($AA$2="入れる",VLOOKUP(10,list,4,FALSE),"")</f>
        <v/>
      </c>
      <c r="G6" s="26"/>
      <c r="H6" s="26"/>
      <c r="I6" s="26"/>
      <c r="J6" s="23" t="str">
        <f ca="1">VLOOKUP(9,list,15,FALSE)</f>
        <v>ッ</v>
      </c>
      <c r="K6" s="24"/>
      <c r="L6" s="24"/>
      <c r="M6" s="24"/>
      <c r="N6" s="25"/>
      <c r="O6" s="26" t="str">
        <f ca="1">IF($AA$2="入れる",VLOOKUP(9,list,4,FALSE),"")</f>
        <v/>
      </c>
      <c r="P6" s="26"/>
      <c r="Q6" s="26"/>
      <c r="R6" s="26"/>
      <c r="S6" s="23" t="str">
        <f ca="1">VLOOKUP(8,list,15,FALSE)</f>
        <v>校</v>
      </c>
      <c r="T6" s="24"/>
      <c r="U6" s="24"/>
      <c r="V6" s="24"/>
      <c r="W6" s="25"/>
      <c r="X6" s="26" t="str">
        <f ca="1">IF($AA$2="入れる",VLOOKUP(8,list,4,FALSE),"")</f>
        <v>こう</v>
      </c>
      <c r="Y6" s="26"/>
      <c r="Z6" s="26"/>
      <c r="AA6" s="26"/>
      <c r="AB6" s="23" t="str">
        <f ca="1">VLOOKUP(7,list,15,FALSE)</f>
        <v>か</v>
      </c>
      <c r="AC6" s="24"/>
      <c r="AD6" s="24"/>
      <c r="AE6" s="24"/>
      <c r="AF6" s="25"/>
      <c r="AG6" s="26" t="str">
        <f ca="1">IF($AA$2="入れる",VLOOKUP(7,list,4,FALSE),"")</f>
        <v/>
      </c>
      <c r="AH6" s="26"/>
      <c r="AI6" s="26"/>
      <c r="AJ6" s="26"/>
      <c r="AK6" s="23" t="str">
        <f ca="1">VLOOKUP(6,list,15,FALSE)</f>
        <v>者</v>
      </c>
      <c r="AL6" s="24"/>
      <c r="AM6" s="24"/>
      <c r="AN6" s="24"/>
      <c r="AO6" s="25"/>
      <c r="AP6" s="26" t="str">
        <f ca="1">IF($AA$2="入れる",VLOOKUP(6,list,4,FALSE),"")</f>
        <v>しゃ</v>
      </c>
      <c r="AQ6" s="26"/>
      <c r="AR6" s="26"/>
      <c r="AS6" s="26"/>
      <c r="AT6" s="23" t="str">
        <f ca="1">VLOOKUP(5,list,15,FALSE)</f>
        <v>を</v>
      </c>
      <c r="AU6" s="24"/>
      <c r="AV6" s="24"/>
      <c r="AW6" s="24"/>
      <c r="AX6" s="25"/>
      <c r="AY6" s="26" t="str">
        <f ca="1">IF($AA$2="入れる",VLOOKUP(5,list,4,FALSE),"")</f>
        <v/>
      </c>
      <c r="AZ6" s="26"/>
      <c r="BA6" s="26"/>
      <c r="BB6" s="26"/>
      <c r="BC6" s="23" t="str">
        <f ca="1">VLOOKUP(4,list,15,FALSE)</f>
        <v>リ</v>
      </c>
      <c r="BD6" s="24"/>
      <c r="BE6" s="24"/>
      <c r="BF6" s="24"/>
      <c r="BG6" s="25"/>
      <c r="BH6" s="26" t="str">
        <f ca="1">IF($AA$2="入れる",VLOOKUP(4,list,4,FALSE),"")</f>
        <v/>
      </c>
      <c r="BI6" s="26"/>
      <c r="BJ6" s="26"/>
      <c r="BK6" s="26"/>
      <c r="BL6" s="23" t="str">
        <f ca="1">VLOOKUP(3,list,15,FALSE)</f>
        <v>の</v>
      </c>
      <c r="BM6" s="24"/>
      <c r="BN6" s="24"/>
      <c r="BO6" s="24"/>
      <c r="BP6" s="25"/>
      <c r="BQ6" s="26" t="str">
        <f ca="1">IF($AA$2="入れる",VLOOKUP(3,list,4,FALSE),"")</f>
        <v/>
      </c>
      <c r="BR6" s="26"/>
      <c r="BS6" s="26"/>
      <c r="BT6" s="26"/>
      <c r="BU6" s="23" t="str">
        <f ca="1">VLOOKUP(2,list,15,FALSE)</f>
        <v>ん</v>
      </c>
      <c r="BV6" s="24"/>
      <c r="BW6" s="24"/>
      <c r="BX6" s="24"/>
      <c r="BY6" s="25"/>
      <c r="BZ6" s="26" t="str">
        <f ca="1">IF($AA$2="入れる",VLOOKUP(2,list,4,FALSE),"")</f>
        <v/>
      </c>
      <c r="CA6" s="26"/>
      <c r="CB6" s="26"/>
      <c r="CC6" s="26"/>
      <c r="CD6" s="23" t="str">
        <f ca="1">VLOOKUP(1,list,15,FALSE)</f>
        <v>の</v>
      </c>
      <c r="CE6" s="24"/>
      <c r="CF6" s="24"/>
      <c r="CG6" s="24"/>
      <c r="CH6" s="25"/>
      <c r="CI6" s="26" t="str">
        <f ca="1">IF($AA$2="入れる",VLOOKUP(1,list,4,FALSE),"")</f>
        <v/>
      </c>
      <c r="CJ6" s="26"/>
      <c r="CK6" s="26"/>
      <c r="CL6" s="26"/>
      <c r="CM6" s="32"/>
      <c r="CN6" s="33"/>
      <c r="CO6" s="33"/>
      <c r="CP6" s="34"/>
      <c r="ET6" s="4"/>
      <c r="EU6" s="21"/>
      <c r="EV6" s="21"/>
      <c r="EW6" s="21"/>
      <c r="EX6" s="21"/>
      <c r="EY6" s="3"/>
      <c r="EZ6" s="21"/>
      <c r="FA6" s="21"/>
      <c r="FB6" s="21"/>
      <c r="FC6" s="21"/>
      <c r="FD6" s="21"/>
      <c r="FE6" s="21"/>
      <c r="FF6" s="21"/>
    </row>
    <row r="7" spans="1:183" ht="52.5" customHeight="1" thickBot="1" x14ac:dyDescent="0.2">
      <c r="A7" s="23" t="str">
        <f ca="1">VLOOKUP(10,list,16,FALSE)</f>
        <v>魚</v>
      </c>
      <c r="B7" s="24"/>
      <c r="C7" s="24"/>
      <c r="D7" s="24"/>
      <c r="E7" s="25"/>
      <c r="F7" s="26" t="str">
        <f ca="1">IF($AA$2="入れる",VLOOKUP(10,list,5,FALSE),"")</f>
        <v>さかな</v>
      </c>
      <c r="G7" s="26"/>
      <c r="H7" s="26"/>
      <c r="I7" s="26"/>
      <c r="J7" s="23" t="str">
        <f ca="1">VLOOKUP(9,list,16,FALSE)</f>
        <v>プ</v>
      </c>
      <c r="K7" s="24"/>
      <c r="L7" s="24"/>
      <c r="M7" s="24"/>
      <c r="N7" s="25"/>
      <c r="O7" s="26" t="str">
        <f ca="1">IF($AA$2="入れる",VLOOKUP(9,list,5,FALSE),"")</f>
        <v/>
      </c>
      <c r="P7" s="26"/>
      <c r="Q7" s="26"/>
      <c r="R7" s="26"/>
      <c r="S7" s="23" t="str">
        <f ca="1">VLOOKUP(8,list,16,FALSE)</f>
        <v>放</v>
      </c>
      <c r="T7" s="24"/>
      <c r="U7" s="24"/>
      <c r="V7" s="24"/>
      <c r="W7" s="25"/>
      <c r="X7" s="26" t="str">
        <f ca="1">IF($AA$2="入れる",VLOOKUP(8,list,5,FALSE),"")</f>
        <v>ほう</v>
      </c>
      <c r="Y7" s="26"/>
      <c r="Z7" s="26"/>
      <c r="AA7" s="26"/>
      <c r="AB7" s="23" t="str">
        <f ca="1">VLOOKUP(7,list,16,FALSE)</f>
        <v>後</v>
      </c>
      <c r="AC7" s="24"/>
      <c r="AD7" s="24"/>
      <c r="AE7" s="24"/>
      <c r="AF7" s="25"/>
      <c r="AG7" s="26" t="str">
        <f ca="1">IF($AA$2="入れる",VLOOKUP(7,list,5,FALSE),"")</f>
        <v>ご</v>
      </c>
      <c r="AH7" s="26"/>
      <c r="AI7" s="26"/>
      <c r="AJ7" s="26"/>
      <c r="AK7" s="23" t="str">
        <f ca="1">VLOOKUP(6,list,16,FALSE)</f>
        <v>が</v>
      </c>
      <c r="AL7" s="24"/>
      <c r="AM7" s="24"/>
      <c r="AN7" s="24"/>
      <c r="AO7" s="25"/>
      <c r="AP7" s="26" t="str">
        <f ca="1">IF($AA$2="入れる",VLOOKUP(6,list,5,FALSE),"")</f>
        <v/>
      </c>
      <c r="AQ7" s="26"/>
      <c r="AR7" s="26"/>
      <c r="AS7" s="26"/>
      <c r="AT7" s="23" t="str">
        <f ca="1">VLOOKUP(5,list,16,FALSE)</f>
        <v>読</v>
      </c>
      <c r="AU7" s="24"/>
      <c r="AV7" s="24"/>
      <c r="AW7" s="24"/>
      <c r="AX7" s="25"/>
      <c r="AY7" s="26" t="str">
        <f ca="1">IF($AA$2="入れる",VLOOKUP(5,list,5,FALSE),"")</f>
        <v>よ</v>
      </c>
      <c r="AZ7" s="26"/>
      <c r="BA7" s="26"/>
      <c r="BB7" s="26"/>
      <c r="BC7" s="23" t="str">
        <f ca="1">VLOOKUP(4,list,16,FALSE)</f>
        <v>シ</v>
      </c>
      <c r="BD7" s="24"/>
      <c r="BE7" s="24"/>
      <c r="BF7" s="24"/>
      <c r="BG7" s="25"/>
      <c r="BH7" s="26" t="str">
        <f ca="1">IF($AA$2="入れる",VLOOKUP(4,list,5,FALSE),"")</f>
        <v/>
      </c>
      <c r="BI7" s="26"/>
      <c r="BJ7" s="26"/>
      <c r="BK7" s="26"/>
      <c r="BL7" s="23" t="str">
        <f ca="1">VLOOKUP(3,list,16,FALSE)</f>
        <v>速</v>
      </c>
      <c r="BM7" s="24"/>
      <c r="BN7" s="24"/>
      <c r="BO7" s="24"/>
      <c r="BP7" s="25"/>
      <c r="BQ7" s="26" t="str">
        <f ca="1">IF($AA$2="入れる",VLOOKUP(3,list,5,FALSE),"")</f>
        <v>そく</v>
      </c>
      <c r="BR7" s="26"/>
      <c r="BS7" s="26"/>
      <c r="BT7" s="26"/>
      <c r="BU7" s="23" t="str">
        <f ca="1">VLOOKUP(2,list,16,FALSE)</f>
        <v>湯</v>
      </c>
      <c r="BV7" s="24"/>
      <c r="BW7" s="24"/>
      <c r="BX7" s="24"/>
      <c r="BY7" s="25"/>
      <c r="BZ7" s="26" t="str">
        <f ca="1">IF($AA$2="入れる",VLOOKUP(2,list,5,FALSE),"")</f>
        <v>とう</v>
      </c>
      <c r="CA7" s="26"/>
      <c r="CB7" s="26"/>
      <c r="CC7" s="26"/>
      <c r="CD7" s="23" t="str">
        <f ca="1">VLOOKUP(1,list,16,FALSE)</f>
        <v>神</v>
      </c>
      <c r="CE7" s="24"/>
      <c r="CF7" s="24"/>
      <c r="CG7" s="24"/>
      <c r="CH7" s="25"/>
      <c r="CI7" s="26" t="str">
        <f ca="1">IF($AA$2="入れる",VLOOKUP(1,list,5,FALSE),"")</f>
        <v>かみ</v>
      </c>
      <c r="CJ7" s="26"/>
      <c r="CK7" s="26"/>
      <c r="CL7" s="26"/>
      <c r="CM7" s="32"/>
      <c r="CN7" s="33"/>
      <c r="CO7" s="33"/>
      <c r="CP7" s="34"/>
      <c r="ES7" s="3"/>
      <c r="ET7" s="21"/>
      <c r="EU7" s="21"/>
      <c r="EV7" s="21"/>
      <c r="EW7" s="21"/>
      <c r="EX7" s="21"/>
      <c r="EY7" s="3"/>
      <c r="EZ7" s="21"/>
      <c r="FA7" s="21"/>
      <c r="FB7" s="21"/>
      <c r="FC7" s="21"/>
      <c r="FD7" s="21"/>
      <c r="FE7" s="21"/>
      <c r="FF7" s="21"/>
    </row>
    <row r="8" spans="1:183" ht="52.5" customHeight="1" thickBot="1" x14ac:dyDescent="0.2">
      <c r="A8" s="23" t="str">
        <f ca="1">VLOOKUP(10,list,17,FALSE)</f>
        <v>を</v>
      </c>
      <c r="B8" s="24"/>
      <c r="C8" s="24"/>
      <c r="D8" s="24"/>
      <c r="E8" s="25"/>
      <c r="F8" s="26" t="str">
        <f ca="1">IF($AA$2="入れる",VLOOKUP(10,list,6,FALSE),"")</f>
        <v/>
      </c>
      <c r="G8" s="26"/>
      <c r="H8" s="26"/>
      <c r="I8" s="26"/>
      <c r="J8" s="23" t="str">
        <f ca="1">VLOOKUP(9,list,17,FALSE)</f>
        <v>に</v>
      </c>
      <c r="K8" s="24"/>
      <c r="L8" s="24"/>
      <c r="M8" s="24"/>
      <c r="N8" s="25"/>
      <c r="O8" s="26" t="str">
        <f ca="1">IF($AA$2="入れる",VLOOKUP(9,list,6,FALSE),"")</f>
        <v/>
      </c>
      <c r="P8" s="26"/>
      <c r="Q8" s="26"/>
      <c r="R8" s="26"/>
      <c r="S8" s="23" t="str">
        <f ca="1">VLOOKUP(8,list,17,FALSE)</f>
        <v>送</v>
      </c>
      <c r="T8" s="24"/>
      <c r="U8" s="24"/>
      <c r="V8" s="24"/>
      <c r="W8" s="25"/>
      <c r="X8" s="26" t="str">
        <f ca="1">IF($AA$2="入れる",VLOOKUP(8,list,6,FALSE),"")</f>
        <v>そう</v>
      </c>
      <c r="Y8" s="26"/>
      <c r="Z8" s="26"/>
      <c r="AA8" s="26"/>
      <c r="AB8" s="23" t="str">
        <f ca="1">VLOOKUP(7,list,17,FALSE)</f>
        <v>に</v>
      </c>
      <c r="AC8" s="24"/>
      <c r="AD8" s="24"/>
      <c r="AE8" s="24"/>
      <c r="AF8" s="25"/>
      <c r="AG8" s="26" t="str">
        <f ca="1">IF($AA$2="入れる",VLOOKUP(7,list,6,FALSE),"")</f>
        <v/>
      </c>
      <c r="AH8" s="26"/>
      <c r="AI8" s="26"/>
      <c r="AJ8" s="26"/>
      <c r="AK8" s="23" t="str">
        <f ca="1">VLOOKUP(6,list,17,FALSE)</f>
        <v>薬</v>
      </c>
      <c r="AL8" s="24"/>
      <c r="AM8" s="24"/>
      <c r="AN8" s="24"/>
      <c r="AO8" s="25"/>
      <c r="AP8" s="26" t="str">
        <f ca="1">IF($AA$2="入れる",VLOOKUP(6,list,6,FALSE),"")</f>
        <v>くすり</v>
      </c>
      <c r="AQ8" s="26"/>
      <c r="AR8" s="26"/>
      <c r="AS8" s="26"/>
      <c r="AT8" s="23" t="str">
        <f ca="1">VLOOKUP(5,list,17,FALSE)</f>
        <v>む</v>
      </c>
      <c r="AU8" s="24"/>
      <c r="AV8" s="24"/>
      <c r="AW8" s="24"/>
      <c r="AX8" s="25"/>
      <c r="AY8" s="26" t="str">
        <f ca="1">IF($AA$2="入れる",VLOOKUP(5,list,6,FALSE),"")</f>
        <v/>
      </c>
      <c r="AZ8" s="26"/>
      <c r="BA8" s="26"/>
      <c r="BB8" s="26"/>
      <c r="BC8" s="23" t="str">
        <f ca="1">VLOOKUP(4,list,17,FALSE)</f>
        <v>ャ</v>
      </c>
      <c r="BD8" s="24"/>
      <c r="BE8" s="24"/>
      <c r="BF8" s="24"/>
      <c r="BG8" s="25"/>
      <c r="BH8" s="26" t="str">
        <f ca="1">IF($AA$2="入れる",VLOOKUP(4,list,6,FALSE),"")</f>
        <v/>
      </c>
      <c r="BI8" s="26"/>
      <c r="BJ8" s="26"/>
      <c r="BK8" s="26"/>
      <c r="BL8" s="23" t="str">
        <f ca="1">VLOOKUP(3,list,17,FALSE)</f>
        <v>度</v>
      </c>
      <c r="BM8" s="24"/>
      <c r="BN8" s="24"/>
      <c r="BO8" s="24"/>
      <c r="BP8" s="25"/>
      <c r="BQ8" s="26" t="str">
        <f ca="1">IF($AA$2="入れる",VLOOKUP(3,list,6,FALSE),"")</f>
        <v>ど</v>
      </c>
      <c r="BR8" s="26"/>
      <c r="BS8" s="26"/>
      <c r="BT8" s="26"/>
      <c r="BU8" s="23" t="str">
        <f ca="1">VLOOKUP(2,list,17,FALSE)</f>
        <v>の</v>
      </c>
      <c r="BV8" s="24"/>
      <c r="BW8" s="24"/>
      <c r="BX8" s="24"/>
      <c r="BY8" s="25"/>
      <c r="BZ8" s="26" t="str">
        <f ca="1">IF($AA$2="入れる",VLOOKUP(2,list,6,FALSE),"")</f>
        <v/>
      </c>
      <c r="CA8" s="26"/>
      <c r="CB8" s="26"/>
      <c r="CC8" s="26"/>
      <c r="CD8" s="23" t="str">
        <f ca="1">VLOOKUP(1,list,17,FALSE)</f>
        <v>様</v>
      </c>
      <c r="CE8" s="24"/>
      <c r="CF8" s="24"/>
      <c r="CG8" s="24"/>
      <c r="CH8" s="25"/>
      <c r="CI8" s="26" t="str">
        <f ca="1">IF($AA$2="入れる",VLOOKUP(1,list,6,FALSE),"")</f>
        <v>さま</v>
      </c>
      <c r="CJ8" s="26"/>
      <c r="CK8" s="26"/>
      <c r="CL8" s="26"/>
      <c r="CM8" s="35" t="s">
        <v>0</v>
      </c>
      <c r="CN8" s="36"/>
      <c r="CO8" s="36"/>
      <c r="CP8" s="37"/>
    </row>
    <row r="9" spans="1:183" ht="52.5" customHeight="1" thickBot="1" x14ac:dyDescent="0.2">
      <c r="A9" s="23" t="str">
        <f ca="1">VLOOKUP(10,list,18,FALSE)</f>
        <v>放</v>
      </c>
      <c r="B9" s="24"/>
      <c r="C9" s="24"/>
      <c r="D9" s="24"/>
      <c r="E9" s="25"/>
      <c r="F9" s="26" t="str">
        <f ca="1">IF($AA$2="入れる",VLOOKUP(10,list,7,FALSE),"")</f>
        <v>はな</v>
      </c>
      <c r="G9" s="26"/>
      <c r="H9" s="26"/>
      <c r="I9" s="26"/>
      <c r="J9" s="23" t="str">
        <f ca="1">VLOOKUP(9,list,18,FALSE)</f>
        <v>ね</v>
      </c>
      <c r="K9" s="24"/>
      <c r="L9" s="24"/>
      <c r="M9" s="24"/>
      <c r="N9" s="25"/>
      <c r="O9" s="26" t="str">
        <f ca="1">IF($AA$2="入れる",VLOOKUP(9,list,7,FALSE),"")</f>
        <v/>
      </c>
      <c r="P9" s="26"/>
      <c r="Q9" s="26"/>
      <c r="R9" s="26"/>
      <c r="S9" s="23" t="str">
        <f ca="1">VLOOKUP(8,list,18,FALSE)</f>
        <v>を</v>
      </c>
      <c r="T9" s="24"/>
      <c r="U9" s="24"/>
      <c r="V9" s="24"/>
      <c r="W9" s="25"/>
      <c r="X9" s="26" t="str">
        <f ca="1">IF($AA$2="入れる",VLOOKUP(8,list,7,FALSE),"")</f>
        <v/>
      </c>
      <c r="Y9" s="26"/>
      <c r="Z9" s="26"/>
      <c r="AA9" s="26"/>
      <c r="AB9" s="23" t="str">
        <f ca="1">VLOOKUP(7,list,18,FALSE)</f>
        <v>友</v>
      </c>
      <c r="AC9" s="24"/>
      <c r="AD9" s="24"/>
      <c r="AE9" s="24"/>
      <c r="AF9" s="25"/>
      <c r="AG9" s="26" t="str">
        <f ca="1">IF($AA$2="入れる",VLOOKUP(7,list,7,FALSE),"")</f>
        <v>とも</v>
      </c>
      <c r="AH9" s="26"/>
      <c r="AI9" s="26"/>
      <c r="AJ9" s="26"/>
      <c r="AK9" s="23" t="str">
        <f ca="1">VLOOKUP(6,list,18,FALSE)</f>
        <v>箱</v>
      </c>
      <c r="AL9" s="24"/>
      <c r="AM9" s="24"/>
      <c r="AN9" s="24"/>
      <c r="AO9" s="25"/>
      <c r="AP9" s="26" t="str">
        <f ca="1">IF($AA$2="入れる",VLOOKUP(6,list,7,FALSE),"")</f>
        <v>ばこ</v>
      </c>
      <c r="AQ9" s="26"/>
      <c r="AR9" s="26"/>
      <c r="AS9" s="26"/>
      <c r="AT9" s="23" t="str">
        <f ca="1">VLOOKUP(5,list,18,FALSE)</f>
        <v>速</v>
      </c>
      <c r="AU9" s="24"/>
      <c r="AV9" s="24"/>
      <c r="AW9" s="24"/>
      <c r="AX9" s="25"/>
      <c r="AY9" s="26" t="str">
        <f ca="1">IF($AA$2="入れる",VLOOKUP(5,list,7,FALSE),"")</f>
        <v>はや</v>
      </c>
      <c r="AZ9" s="26"/>
      <c r="BA9" s="26"/>
      <c r="BB9" s="26"/>
      <c r="BC9" s="23" t="str">
        <f ca="1">VLOOKUP(4,list,18,FALSE)</f>
        <v>神</v>
      </c>
      <c r="BD9" s="24"/>
      <c r="BE9" s="24"/>
      <c r="BF9" s="24"/>
      <c r="BG9" s="25"/>
      <c r="BH9" s="26" t="str">
        <f ca="1">IF($AA$2="入れる",VLOOKUP(4,list,7,FALSE),"")</f>
        <v>しん</v>
      </c>
      <c r="BI9" s="26"/>
      <c r="BJ9" s="26"/>
      <c r="BK9" s="26"/>
      <c r="BL9" s="23" t="str">
        <f ca="1">VLOOKUP(3,list,18,FALSE)</f>
        <v>を</v>
      </c>
      <c r="BM9" s="24"/>
      <c r="BN9" s="24"/>
      <c r="BO9" s="24"/>
      <c r="BP9" s="25"/>
      <c r="BQ9" s="26" t="str">
        <f ca="1">IF($AA$2="入れる",VLOOKUP(3,list,7,FALSE),"")</f>
        <v/>
      </c>
      <c r="BR9" s="26"/>
      <c r="BS9" s="26"/>
      <c r="BT9" s="26"/>
      <c r="BU9" s="23" t="str">
        <f ca="1">VLOOKUP(2,list,18,FALSE)</f>
        <v>あ</v>
      </c>
      <c r="BV9" s="24"/>
      <c r="BW9" s="24"/>
      <c r="BX9" s="24"/>
      <c r="BY9" s="25"/>
      <c r="BZ9" s="26" t="str">
        <f ca="1">IF($AA$2="入れる",VLOOKUP(2,list,7,FALSE),"")</f>
        <v/>
      </c>
      <c r="CA9" s="26"/>
      <c r="CB9" s="26"/>
      <c r="CC9" s="26"/>
      <c r="CD9" s="23" t="str">
        <f ca="1">VLOOKUP(1,list,18,FALSE)</f>
        <v>を</v>
      </c>
      <c r="CE9" s="24"/>
      <c r="CF9" s="24"/>
      <c r="CG9" s="24"/>
      <c r="CH9" s="25"/>
      <c r="CI9" s="26" t="str">
        <f ca="1">IF($AA$2="入れる",VLOOKUP(1,list,7,FALSE),"")</f>
        <v/>
      </c>
      <c r="CJ9" s="26"/>
      <c r="CK9" s="26"/>
      <c r="CL9" s="26"/>
      <c r="CM9" s="35"/>
      <c r="CN9" s="36"/>
      <c r="CO9" s="36"/>
      <c r="CP9" s="37"/>
    </row>
    <row r="10" spans="1:183" ht="52.5" customHeight="1" thickBot="1" x14ac:dyDescent="0.2">
      <c r="A10" s="23" t="str">
        <f ca="1">VLOOKUP(10,list,19,FALSE)</f>
        <v>す</v>
      </c>
      <c r="B10" s="24"/>
      <c r="C10" s="24"/>
      <c r="D10" s="24"/>
      <c r="E10" s="25"/>
      <c r="F10" s="26" t="str">
        <f ca="1">IF($AA$2="入れる",VLOOKUP(10,list,8,FALSE),"")</f>
        <v/>
      </c>
      <c r="G10" s="26"/>
      <c r="H10" s="26"/>
      <c r="I10" s="26"/>
      <c r="J10" s="23" t="str">
        <f ca="1">VLOOKUP(9,list,19,FALSE)</f>
        <v>っ</v>
      </c>
      <c r="K10" s="24"/>
      <c r="L10" s="24"/>
      <c r="M10" s="24"/>
      <c r="N10" s="25"/>
      <c r="O10" s="26" t="str">
        <f ca="1">IF($AA$2="入れる",VLOOKUP(9,list,8,FALSE),"")</f>
        <v/>
      </c>
      <c r="P10" s="26"/>
      <c r="Q10" s="26"/>
      <c r="R10" s="26"/>
      <c r="S10" s="23" t="str">
        <f ca="1">VLOOKUP(8,list,19,FALSE)</f>
        <v>す</v>
      </c>
      <c r="T10" s="24"/>
      <c r="U10" s="24"/>
      <c r="V10" s="24"/>
      <c r="W10" s="25"/>
      <c r="X10" s="26" t="str">
        <f ca="1">IF($AA$2="入れる",VLOOKUP(8,list,8,FALSE),"")</f>
        <v/>
      </c>
      <c r="Y10" s="26"/>
      <c r="Z10" s="26"/>
      <c r="AA10" s="26"/>
      <c r="AB10" s="23" t="str">
        <f ca="1">VLOOKUP(7,list,19,FALSE)</f>
        <v>だ</v>
      </c>
      <c r="AC10" s="24"/>
      <c r="AD10" s="24"/>
      <c r="AE10" s="24"/>
      <c r="AF10" s="25"/>
      <c r="AG10" s="26" t="str">
        <f ca="1">IF($AA$2="入れる",VLOOKUP(7,list,8,FALSE),"")</f>
        <v/>
      </c>
      <c r="AH10" s="26"/>
      <c r="AI10" s="26"/>
      <c r="AJ10" s="26"/>
      <c r="AK10" s="23" t="str">
        <f ca="1">VLOOKUP(6,list,19,FALSE)</f>
        <v>を</v>
      </c>
      <c r="AL10" s="24"/>
      <c r="AM10" s="24"/>
      <c r="AN10" s="24"/>
      <c r="AO10" s="25"/>
      <c r="AP10" s="26" t="str">
        <f ca="1">IF($AA$2="入れる",VLOOKUP(6,list,8,FALSE),"")</f>
        <v/>
      </c>
      <c r="AQ10" s="26"/>
      <c r="AR10" s="26"/>
      <c r="AS10" s="26"/>
      <c r="AT10" s="23" t="str">
        <f ca="1">VLOOKUP(5,list,19,FALSE)</f>
        <v>さ</v>
      </c>
      <c r="AU10" s="24"/>
      <c r="AV10" s="24"/>
      <c r="AW10" s="24"/>
      <c r="AX10" s="25"/>
      <c r="AY10" s="26" t="str">
        <f ca="1">IF($AA$2="入れる",VLOOKUP(5,list,8,FALSE),"")</f>
        <v/>
      </c>
      <c r="AZ10" s="26"/>
      <c r="BA10" s="26"/>
      <c r="BB10" s="26"/>
      <c r="BC10" s="23" t="str">
        <f ca="1">VLOOKUP(4,list,19,FALSE)</f>
        <v>話</v>
      </c>
      <c r="BD10" s="24"/>
      <c r="BE10" s="24"/>
      <c r="BF10" s="24"/>
      <c r="BG10" s="25"/>
      <c r="BH10" s="26" t="str">
        <f ca="1">IF($AA$2="入れる",VLOOKUP(4,list,8,FALSE),"")</f>
        <v>わ</v>
      </c>
      <c r="BI10" s="26"/>
      <c r="BJ10" s="26"/>
      <c r="BK10" s="26"/>
      <c r="BL10" s="23" t="str">
        <f ca="1">VLOOKUP(3,list,19,FALSE)</f>
        <v>は</v>
      </c>
      <c r="BM10" s="24"/>
      <c r="BN10" s="24"/>
      <c r="BO10" s="24"/>
      <c r="BP10" s="25"/>
      <c r="BQ10" s="26" t="str">
        <f ca="1">IF($AA$2="入れる",VLOOKUP(3,list,8,FALSE),"")</f>
        <v/>
      </c>
      <c r="BR10" s="26"/>
      <c r="BS10" s="26"/>
      <c r="BT10" s="26"/>
      <c r="BU10" s="23" t="str">
        <f ca="1">VLOOKUP(2,list,19,FALSE)</f>
        <v>ら</v>
      </c>
      <c r="BV10" s="24"/>
      <c r="BW10" s="24"/>
      <c r="BX10" s="24"/>
      <c r="BY10" s="25"/>
      <c r="BZ10" s="26" t="str">
        <f ca="1">IF($AA$2="入れる",VLOOKUP(2,list,8,FALSE),"")</f>
        <v/>
      </c>
      <c r="CA10" s="26"/>
      <c r="CB10" s="26"/>
      <c r="CC10" s="26"/>
      <c r="CD10" s="23" t="str">
        <f ca="1">VLOOKUP(1,list,19,FALSE)</f>
        <v>祭</v>
      </c>
      <c r="CE10" s="24"/>
      <c r="CF10" s="24"/>
      <c r="CG10" s="24"/>
      <c r="CH10" s="25"/>
      <c r="CI10" s="26" t="str">
        <f ca="1">IF($AA$2="入れる",VLOOKUP(1,list,8,FALSE),"")</f>
        <v>まつ</v>
      </c>
      <c r="CJ10" s="26"/>
      <c r="CK10" s="26"/>
      <c r="CL10" s="26"/>
      <c r="CM10" s="35"/>
      <c r="CN10" s="36"/>
      <c r="CO10" s="36"/>
      <c r="CP10" s="37"/>
    </row>
    <row r="11" spans="1:183" ht="52.5" customHeight="1" thickBot="1" x14ac:dyDescent="0.2">
      <c r="A11" s="23" t="str">
        <f ca="1">VLOOKUP(10,list,20,FALSE)</f>
        <v/>
      </c>
      <c r="B11" s="24"/>
      <c r="C11" s="24"/>
      <c r="D11" s="24"/>
      <c r="E11" s="25"/>
      <c r="F11" s="26" t="str">
        <f ca="1">IF($AA$2="入れる",VLOOKUP(10,list,9,FALSE),"")</f>
        <v/>
      </c>
      <c r="G11" s="26"/>
      <c r="H11" s="26"/>
      <c r="I11" s="26"/>
      <c r="J11" s="23" t="str">
        <f ca="1">VLOOKUP(9,list,20,FALSE)</f>
        <v>湯</v>
      </c>
      <c r="K11" s="24"/>
      <c r="L11" s="24"/>
      <c r="M11" s="24"/>
      <c r="N11" s="25"/>
      <c r="O11" s="26" t="str">
        <f ca="1">IF($AA$2="入れる",VLOOKUP(9,list,9,FALSE),"")</f>
        <v>とう</v>
      </c>
      <c r="P11" s="26"/>
      <c r="Q11" s="26"/>
      <c r="R11" s="26"/>
      <c r="S11" s="23" t="str">
        <f ca="1">VLOOKUP(8,list,20,FALSE)</f>
        <v>る</v>
      </c>
      <c r="T11" s="24"/>
      <c r="U11" s="24"/>
      <c r="V11" s="24"/>
      <c r="W11" s="25"/>
      <c r="X11" s="26" t="str">
        <f ca="1">IF($AA$2="入れる",VLOOKUP(8,list,9,FALSE),"")</f>
        <v/>
      </c>
      <c r="Y11" s="26"/>
      <c r="Z11" s="26"/>
      <c r="AA11" s="26"/>
      <c r="AB11" s="23" t="str">
        <f ca="1">VLOOKUP(7,list,20,FALSE)</f>
        <v>ち</v>
      </c>
      <c r="AC11" s="24"/>
      <c r="AD11" s="24"/>
      <c r="AE11" s="24"/>
      <c r="AF11" s="25"/>
      <c r="AG11" s="26" t="str">
        <f ca="1">IF($AA$2="入れる",VLOOKUP(7,list,9,FALSE),"")</f>
        <v/>
      </c>
      <c r="AH11" s="26"/>
      <c r="AI11" s="26"/>
      <c r="AJ11" s="26"/>
      <c r="AK11" s="23" t="str">
        <f ca="1">VLOOKUP(6,list,20,FALSE)</f>
        <v>持</v>
      </c>
      <c r="AL11" s="24"/>
      <c r="AM11" s="24"/>
      <c r="AN11" s="24"/>
      <c r="AO11" s="25"/>
      <c r="AP11" s="26" t="str">
        <f ca="1">IF($AA$2="入れる",VLOOKUP(6,list,9,FALSE),"")</f>
        <v>も</v>
      </c>
      <c r="AQ11" s="26"/>
      <c r="AR11" s="26"/>
      <c r="AS11" s="26"/>
      <c r="AT11" s="23" t="str">
        <f ca="1">VLOOKUP(5,list,20,FALSE)</f>
        <v/>
      </c>
      <c r="AU11" s="24"/>
      <c r="AV11" s="24"/>
      <c r="AW11" s="24"/>
      <c r="AX11" s="25"/>
      <c r="AY11" s="26" t="str">
        <f ca="1">IF($AA$2="入れる",VLOOKUP(5,list,9,FALSE),"")</f>
        <v/>
      </c>
      <c r="AZ11" s="26"/>
      <c r="BA11" s="26"/>
      <c r="BB11" s="26"/>
      <c r="BC11" s="23" t="str">
        <f ca="1">VLOOKUP(4,list,20,FALSE)</f>
        <v/>
      </c>
      <c r="BD11" s="24"/>
      <c r="BE11" s="24"/>
      <c r="BF11" s="24"/>
      <c r="BG11" s="25"/>
      <c r="BH11" s="26" t="str">
        <f ca="1">IF($AA$2="入れる",VLOOKUP(4,list,9,FALSE),"")</f>
        <v/>
      </c>
      <c r="BI11" s="26"/>
      <c r="BJ11" s="26"/>
      <c r="BK11" s="26"/>
      <c r="BL11" s="23" t="str">
        <f ca="1">VLOOKUP(3,list,20,FALSE)</f>
        <v>か</v>
      </c>
      <c r="BM11" s="24"/>
      <c r="BN11" s="24"/>
      <c r="BO11" s="24"/>
      <c r="BP11" s="25"/>
      <c r="BQ11" s="26" t="str">
        <f ca="1">IF($AA$2="入れる",VLOOKUP(3,list,9,FALSE),"")</f>
        <v/>
      </c>
      <c r="BR11" s="26"/>
      <c r="BS11" s="26"/>
      <c r="BT11" s="26"/>
      <c r="BU11" s="23" t="str">
        <f ca="1">VLOOKUP(2,list,20,FALSE)</f>
        <v>い</v>
      </c>
      <c r="BV11" s="24"/>
      <c r="BW11" s="24"/>
      <c r="BX11" s="24"/>
      <c r="BY11" s="25"/>
      <c r="BZ11" s="26" t="str">
        <f ca="1">IF($AA$2="入れる",VLOOKUP(2,list,9,FALSE),"")</f>
        <v/>
      </c>
      <c r="CA11" s="26"/>
      <c r="CB11" s="26"/>
      <c r="CC11" s="26"/>
      <c r="CD11" s="23" t="str">
        <f ca="1">VLOOKUP(1,list,20,FALSE)</f>
        <v>っ</v>
      </c>
      <c r="CE11" s="24"/>
      <c r="CF11" s="24"/>
      <c r="CG11" s="24"/>
      <c r="CH11" s="25"/>
      <c r="CI11" s="26" t="str">
        <f ca="1">IF($AA$2="入れる",VLOOKUP(1,list,9,FALSE),"")</f>
        <v/>
      </c>
      <c r="CJ11" s="26"/>
      <c r="CK11" s="26"/>
      <c r="CL11" s="26"/>
      <c r="CM11" s="35"/>
      <c r="CN11" s="36"/>
      <c r="CO11" s="36"/>
      <c r="CP11" s="37"/>
    </row>
    <row r="12" spans="1:183" ht="52.5" customHeight="1" thickBot="1" x14ac:dyDescent="0.2">
      <c r="A12" s="23" t="str">
        <f ca="1">VLOOKUP(10,list,21,FALSE)</f>
        <v/>
      </c>
      <c r="B12" s="24"/>
      <c r="C12" s="24"/>
      <c r="D12" s="24"/>
      <c r="E12" s="25"/>
      <c r="F12" s="26" t="str">
        <f ca="1">IF($AA$2="入れる",VLOOKUP(10,list,10,FALSE),"")</f>
        <v/>
      </c>
      <c r="G12" s="26"/>
      <c r="H12" s="26"/>
      <c r="I12" s="26"/>
      <c r="J12" s="23" t="str">
        <f ca="1">VLOOKUP(9,list,21,FALSE)</f>
        <v>を</v>
      </c>
      <c r="K12" s="24"/>
      <c r="L12" s="24"/>
      <c r="M12" s="24"/>
      <c r="N12" s="25"/>
      <c r="O12" s="26" t="str">
        <f ca="1">IF($AA$2="入れる",VLOOKUP(9,list,10,FALSE),"")</f>
        <v/>
      </c>
      <c r="P12" s="26"/>
      <c r="Q12" s="26"/>
      <c r="R12" s="26"/>
      <c r="S12" s="23" t="str">
        <f ca="1">VLOOKUP(8,list,21,FALSE)</f>
        <v/>
      </c>
      <c r="T12" s="24"/>
      <c r="U12" s="24"/>
      <c r="V12" s="24"/>
      <c r="W12" s="25"/>
      <c r="X12" s="26" t="str">
        <f ca="1">IF($AA$2="入れる",VLOOKUP(8,list,10,FALSE),"")</f>
        <v/>
      </c>
      <c r="Y12" s="26"/>
      <c r="Z12" s="26"/>
      <c r="AA12" s="26"/>
      <c r="AB12" s="23" t="str">
        <f ca="1">VLOOKUP(7,list,21,FALSE)</f>
        <v>と</v>
      </c>
      <c r="AC12" s="24"/>
      <c r="AD12" s="24"/>
      <c r="AE12" s="24"/>
      <c r="AF12" s="25"/>
      <c r="AG12" s="26" t="str">
        <f ca="1">IF($AA$2="入れる",VLOOKUP(7,list,10,FALSE),"")</f>
        <v/>
      </c>
      <c r="AH12" s="26"/>
      <c r="AI12" s="26"/>
      <c r="AJ12" s="26"/>
      <c r="AK12" s="23" t="str">
        <f ca="1">VLOOKUP(6,list,21,FALSE)</f>
        <v>っ</v>
      </c>
      <c r="AL12" s="24"/>
      <c r="AM12" s="24"/>
      <c r="AN12" s="24"/>
      <c r="AO12" s="25"/>
      <c r="AP12" s="26" t="str">
        <f ca="1">IF($AA$2="入れる",VLOOKUP(6,list,10,FALSE),"")</f>
        <v/>
      </c>
      <c r="AQ12" s="26"/>
      <c r="AR12" s="26"/>
      <c r="AS12" s="26"/>
      <c r="AT12" s="23" t="str">
        <f ca="1">VLOOKUP(5,list,21,FALSE)</f>
        <v/>
      </c>
      <c r="AU12" s="24"/>
      <c r="AV12" s="24"/>
      <c r="AW12" s="24"/>
      <c r="AX12" s="25"/>
      <c r="AY12" s="26" t="str">
        <f ca="1">IF($AA$2="入れる",VLOOKUP(5,list,10,FALSE),"")</f>
        <v/>
      </c>
      <c r="AZ12" s="26"/>
      <c r="BA12" s="26"/>
      <c r="BB12" s="26"/>
      <c r="BC12" s="23" t="str">
        <f ca="1">VLOOKUP(4,list,21,FALSE)</f>
        <v/>
      </c>
      <c r="BD12" s="24"/>
      <c r="BE12" s="24"/>
      <c r="BF12" s="24"/>
      <c r="BG12" s="25"/>
      <c r="BH12" s="26" t="str">
        <f ca="1">IF($AA$2="入れる",VLOOKUP(4,list,10,FALSE),"")</f>
        <v/>
      </c>
      <c r="BI12" s="26"/>
      <c r="BJ12" s="26"/>
      <c r="BK12" s="26"/>
      <c r="BL12" s="23" t="str">
        <f ca="1">VLOOKUP(3,list,21,FALSE)</f>
        <v>る</v>
      </c>
      <c r="BM12" s="24"/>
      <c r="BN12" s="24"/>
      <c r="BO12" s="24"/>
      <c r="BP12" s="25"/>
      <c r="BQ12" s="26" t="str">
        <f ca="1">IF($AA$2="入れる",VLOOKUP(3,list,10,FALSE),"")</f>
        <v/>
      </c>
      <c r="BR12" s="26"/>
      <c r="BS12" s="26"/>
      <c r="BT12" s="26"/>
      <c r="BU12" s="23" t="str">
        <f ca="1">VLOOKUP(2,list,21,FALSE)</f>
        <v>場</v>
      </c>
      <c r="BV12" s="24"/>
      <c r="BW12" s="24"/>
      <c r="BX12" s="24"/>
      <c r="BY12" s="25"/>
      <c r="BZ12" s="26" t="str">
        <f ca="1">IF($AA$2="入れる",VLOOKUP(2,list,10,FALSE),"")</f>
        <v>ば</v>
      </c>
      <c r="CA12" s="26"/>
      <c r="CB12" s="26"/>
      <c r="CC12" s="26"/>
      <c r="CD12" s="23" t="str">
        <f ca="1">VLOOKUP(1,list,21,FALSE)</f>
        <v>た</v>
      </c>
      <c r="CE12" s="24"/>
      <c r="CF12" s="24"/>
      <c r="CG12" s="24"/>
      <c r="CH12" s="25"/>
      <c r="CI12" s="26" t="str">
        <f ca="1">IF($AA$2="入れる",VLOOKUP(1,list,10,FALSE),"")</f>
        <v/>
      </c>
      <c r="CJ12" s="26"/>
      <c r="CK12" s="26"/>
      <c r="CL12" s="26"/>
      <c r="CM12" s="35"/>
      <c r="CN12" s="36"/>
      <c r="CO12" s="36"/>
      <c r="CP12" s="37"/>
      <c r="CX12" s="22"/>
    </row>
    <row r="13" spans="1:183" ht="52.5" customHeight="1" thickBot="1" x14ac:dyDescent="0.2">
      <c r="A13" s="23" t="str">
        <f ca="1">VLOOKUP(10,list,22,FALSE)</f>
        <v/>
      </c>
      <c r="B13" s="24"/>
      <c r="C13" s="24"/>
      <c r="D13" s="24"/>
      <c r="E13" s="25"/>
      <c r="F13" s="26" t="str">
        <f ca="1">IF($AA$2="入れる",VLOOKUP(10,list,11,FALSE),"")</f>
        <v/>
      </c>
      <c r="G13" s="26"/>
      <c r="H13" s="26"/>
      <c r="I13" s="26"/>
      <c r="J13" s="23" t="str">
        <f ca="1">VLOOKUP(9,list,22,FALSE)</f>
        <v>注</v>
      </c>
      <c r="K13" s="24"/>
      <c r="L13" s="24"/>
      <c r="M13" s="24"/>
      <c r="N13" s="25"/>
      <c r="O13" s="26" t="str">
        <f ca="1">IF($AA$2="入れる",VLOOKUP(9,list,11,FALSE),"")</f>
        <v>そそ</v>
      </c>
      <c r="P13" s="26"/>
      <c r="Q13" s="26"/>
      <c r="R13" s="26"/>
      <c r="S13" s="23" t="str">
        <f ca="1">VLOOKUP(8,list,22,FALSE)</f>
        <v/>
      </c>
      <c r="T13" s="24"/>
      <c r="U13" s="24"/>
      <c r="V13" s="24"/>
      <c r="W13" s="25"/>
      <c r="X13" s="26" t="str">
        <f ca="1">IF($AA$2="入れる",VLOOKUP(8,list,11,FALSE),"")</f>
        <v/>
      </c>
      <c r="Y13" s="26"/>
      <c r="Z13" s="26"/>
      <c r="AA13" s="26"/>
      <c r="AB13" s="23" t="str">
        <f ca="1">VLOOKUP(7,list,22,FALSE)</f>
        <v>遊</v>
      </c>
      <c r="AC13" s="24"/>
      <c r="AD13" s="24"/>
      <c r="AE13" s="24"/>
      <c r="AF13" s="25"/>
      <c r="AG13" s="26" t="str">
        <f ca="1">IF($AA$2="入れる",VLOOKUP(7,list,11,FALSE),"")</f>
        <v>あそ</v>
      </c>
      <c r="AH13" s="26"/>
      <c r="AI13" s="26"/>
      <c r="AJ13" s="26"/>
      <c r="AK13" s="23" t="str">
        <f ca="1">VLOOKUP(6,list,22,FALSE)</f>
        <v>て</v>
      </c>
      <c r="AL13" s="24"/>
      <c r="AM13" s="24"/>
      <c r="AN13" s="24"/>
      <c r="AO13" s="25"/>
      <c r="AP13" s="26" t="str">
        <f ca="1">IF($AA$2="入れる",VLOOKUP(6,list,11,FALSE),"")</f>
        <v/>
      </c>
      <c r="AQ13" s="26"/>
      <c r="AR13" s="26"/>
      <c r="AS13" s="26"/>
      <c r="AT13" s="23" t="str">
        <f ca="1">VLOOKUP(5,list,22,FALSE)</f>
        <v/>
      </c>
      <c r="AU13" s="24"/>
      <c r="AV13" s="24"/>
      <c r="AW13" s="24"/>
      <c r="AX13" s="25"/>
      <c r="AY13" s="26" t="str">
        <f ca="1">IF($AA$2="入れる",VLOOKUP(5,list,11,FALSE),"")</f>
        <v/>
      </c>
      <c r="AZ13" s="26"/>
      <c r="BA13" s="26"/>
      <c r="BB13" s="26"/>
      <c r="BC13" s="23" t="str">
        <f ca="1">VLOOKUP(4,list,22,FALSE)</f>
        <v/>
      </c>
      <c r="BD13" s="24"/>
      <c r="BE13" s="24"/>
      <c r="BF13" s="24"/>
      <c r="BG13" s="25"/>
      <c r="BH13" s="26" t="str">
        <f ca="1">IF($AA$2="入れる",VLOOKUP(4,list,11,FALSE),"")</f>
        <v/>
      </c>
      <c r="BI13" s="26"/>
      <c r="BJ13" s="26"/>
      <c r="BK13" s="26"/>
      <c r="BL13" s="23" t="str">
        <f ca="1">VLOOKUP(3,list,22,FALSE)</f>
        <v/>
      </c>
      <c r="BM13" s="24"/>
      <c r="BN13" s="24"/>
      <c r="BO13" s="24"/>
      <c r="BP13" s="25"/>
      <c r="BQ13" s="26" t="str">
        <f ca="1">IF($AA$2="入れる",VLOOKUP(3,list,11,FALSE),"")</f>
        <v/>
      </c>
      <c r="BR13" s="26"/>
      <c r="BS13" s="26"/>
      <c r="BT13" s="26"/>
      <c r="BU13" s="23" t="str">
        <f ca="1">VLOOKUP(2,list,22,FALSE)</f>
        <v/>
      </c>
      <c r="BV13" s="24"/>
      <c r="BW13" s="24"/>
      <c r="BX13" s="24"/>
      <c r="BY13" s="25"/>
      <c r="BZ13" s="26" t="str">
        <f ca="1">IF($AA$2="入れる",VLOOKUP(2,list,11,FALSE),"")</f>
        <v/>
      </c>
      <c r="CA13" s="26"/>
      <c r="CB13" s="26"/>
      <c r="CC13" s="26"/>
      <c r="CD13" s="23" t="str">
        <f ca="1">VLOOKUP(1,list,22,FALSE)</f>
        <v>神</v>
      </c>
      <c r="CE13" s="24"/>
      <c r="CF13" s="24"/>
      <c r="CG13" s="24"/>
      <c r="CH13" s="25"/>
      <c r="CI13" s="26" t="str">
        <f ca="1">IF($AA$2="入れる",VLOOKUP(1,list,11,FALSE),"")</f>
        <v>じん</v>
      </c>
      <c r="CJ13" s="26"/>
      <c r="CK13" s="26"/>
      <c r="CL13" s="26"/>
      <c r="CM13" s="35"/>
      <c r="CN13" s="36"/>
      <c r="CO13" s="36"/>
      <c r="CP13" s="37"/>
      <c r="CX13" s="18"/>
    </row>
    <row r="14" spans="1:183" ht="52.5" customHeight="1" thickBot="1" x14ac:dyDescent="0.2">
      <c r="A14" s="23" t="str">
        <f ca="1">VLOOKUP(10,list,23,FALSE)</f>
        <v/>
      </c>
      <c r="B14" s="24"/>
      <c r="C14" s="24"/>
      <c r="D14" s="24"/>
      <c r="E14" s="25"/>
      <c r="F14" s="26" t="str">
        <f ca="1">IF($AA$2="入れる",VLOOKUP(10,list,12,FALSE),"")</f>
        <v/>
      </c>
      <c r="G14" s="26"/>
      <c r="H14" s="26"/>
      <c r="I14" s="26"/>
      <c r="J14" s="23" t="str">
        <f ca="1">VLOOKUP(9,list,23,FALSE)</f>
        <v>ぐ</v>
      </c>
      <c r="K14" s="24"/>
      <c r="L14" s="24"/>
      <c r="M14" s="24"/>
      <c r="N14" s="25"/>
      <c r="O14" s="26" t="str">
        <f ca="1">IF($AA$2="入れる",VLOOKUP(9,list,12,FALSE),"")</f>
        <v/>
      </c>
      <c r="P14" s="26"/>
      <c r="Q14" s="26"/>
      <c r="R14" s="26"/>
      <c r="S14" s="23" t="str">
        <f ca="1">VLOOKUP(8,list,23,FALSE)</f>
        <v/>
      </c>
      <c r="T14" s="24"/>
      <c r="U14" s="24"/>
      <c r="V14" s="24"/>
      <c r="W14" s="25"/>
      <c r="X14" s="26" t="str">
        <f ca="1">IF($AA$2="入れる",VLOOKUP(8,list,12,FALSE),"")</f>
        <v/>
      </c>
      <c r="Y14" s="26"/>
      <c r="Z14" s="26"/>
      <c r="AA14" s="26"/>
      <c r="AB14" s="23" t="str">
        <f ca="1">VLOOKUP(7,list,23,FALSE)</f>
        <v>ぶ</v>
      </c>
      <c r="AC14" s="24"/>
      <c r="AD14" s="24"/>
      <c r="AE14" s="24"/>
      <c r="AF14" s="25"/>
      <c r="AG14" s="26" t="str">
        <f ca="1">IF($AA$2="入れる",VLOOKUP(7,list,12,FALSE),"")</f>
        <v/>
      </c>
      <c r="AH14" s="26"/>
      <c r="AI14" s="26"/>
      <c r="AJ14" s="26"/>
      <c r="AK14" s="23" t="str">
        <f ca="1">VLOOKUP(6,list,23,FALSE)</f>
        <v>く</v>
      </c>
      <c r="AL14" s="24"/>
      <c r="AM14" s="24"/>
      <c r="AN14" s="24"/>
      <c r="AO14" s="25"/>
      <c r="AP14" s="26" t="str">
        <f ca="1">IF($AA$2="入れる",VLOOKUP(6,list,12,FALSE),"")</f>
        <v/>
      </c>
      <c r="AQ14" s="26"/>
      <c r="AR14" s="26"/>
      <c r="AS14" s="26"/>
      <c r="AT14" s="23" t="str">
        <f ca="1">VLOOKUP(5,list,23,FALSE)</f>
        <v/>
      </c>
      <c r="AU14" s="24"/>
      <c r="AV14" s="24"/>
      <c r="AW14" s="24"/>
      <c r="AX14" s="25"/>
      <c r="AY14" s="26" t="str">
        <f ca="1">IF($AA$2="入れる",VLOOKUP(5,list,12,FALSE),"")</f>
        <v/>
      </c>
      <c r="AZ14" s="26"/>
      <c r="BA14" s="26"/>
      <c r="BB14" s="26"/>
      <c r="BC14" s="23" t="str">
        <f ca="1">VLOOKUP(4,list,23,FALSE)</f>
        <v/>
      </c>
      <c r="BD14" s="24"/>
      <c r="BE14" s="24"/>
      <c r="BF14" s="24"/>
      <c r="BG14" s="25"/>
      <c r="BH14" s="26" t="str">
        <f ca="1">IF($AA$2="入れる",VLOOKUP(4,list,12,FALSE),"")</f>
        <v/>
      </c>
      <c r="BI14" s="26"/>
      <c r="BJ14" s="26"/>
      <c r="BK14" s="26"/>
      <c r="BL14" s="23" t="str">
        <f ca="1">VLOOKUP(3,list,23,FALSE)</f>
        <v/>
      </c>
      <c r="BM14" s="24"/>
      <c r="BN14" s="24"/>
      <c r="BO14" s="24"/>
      <c r="BP14" s="25"/>
      <c r="BQ14" s="26" t="str">
        <f ca="1">IF($AA$2="入れる",VLOOKUP(3,list,12,FALSE),"")</f>
        <v/>
      </c>
      <c r="BR14" s="26"/>
      <c r="BS14" s="26"/>
      <c r="BT14" s="26"/>
      <c r="BU14" s="23" t="str">
        <f ca="1">VLOOKUP(2,list,23,FALSE)</f>
        <v/>
      </c>
      <c r="BV14" s="24"/>
      <c r="BW14" s="24"/>
      <c r="BX14" s="24"/>
      <c r="BY14" s="25"/>
      <c r="BZ14" s="26" t="str">
        <f ca="1">IF($AA$2="入れる",VLOOKUP(2,list,12,FALSE),"")</f>
        <v/>
      </c>
      <c r="CA14" s="26"/>
      <c r="CB14" s="26"/>
      <c r="CC14" s="26"/>
      <c r="CD14" s="23" t="str">
        <f ca="1">VLOOKUP(1,list,23,FALSE)</f>
        <v>社</v>
      </c>
      <c r="CE14" s="24"/>
      <c r="CF14" s="24"/>
      <c r="CG14" s="24"/>
      <c r="CH14" s="25"/>
      <c r="CI14" s="26" t="str">
        <f ca="1">IF($AA$2="入れる",VLOOKUP(1,list,12,FALSE),"")</f>
        <v>じゃ</v>
      </c>
      <c r="CJ14" s="26"/>
      <c r="CK14" s="26"/>
      <c r="CL14" s="26"/>
      <c r="CM14" s="35"/>
      <c r="CN14" s="36"/>
      <c r="CO14" s="36"/>
      <c r="CP14" s="37"/>
      <c r="CX14" s="18"/>
    </row>
    <row r="15" spans="1:183" ht="52.5" customHeight="1" thickBot="1" x14ac:dyDescent="0.2">
      <c r="A15" s="23" t="str">
        <f ca="1">VLOOKUP(10,list,24,FALSE)</f>
        <v/>
      </c>
      <c r="B15" s="24"/>
      <c r="C15" s="24"/>
      <c r="D15" s="24"/>
      <c r="E15" s="25"/>
      <c r="F15" s="26" t="str">
        <f ca="1">IF($AA$2="入れる",VLOOKUP(10,list,13,FALSE),"")</f>
        <v/>
      </c>
      <c r="G15" s="26"/>
      <c r="H15" s="26"/>
      <c r="I15" s="26"/>
      <c r="J15" s="23" t="str">
        <f ca="1">VLOOKUP(9,list,24,FALSE)</f>
        <v/>
      </c>
      <c r="K15" s="24"/>
      <c r="L15" s="24"/>
      <c r="M15" s="24"/>
      <c r="N15" s="25"/>
      <c r="O15" s="26" t="str">
        <f ca="1">IF($AA$2="入れる",VLOOKUP(9,list,13,FALSE),"")</f>
        <v/>
      </c>
      <c r="P15" s="26"/>
      <c r="Q15" s="26"/>
      <c r="R15" s="26"/>
      <c r="S15" s="23" t="str">
        <f ca="1">VLOOKUP(8,list,24,FALSE)</f>
        <v/>
      </c>
      <c r="T15" s="24"/>
      <c r="U15" s="24"/>
      <c r="V15" s="24"/>
      <c r="W15" s="25"/>
      <c r="X15" s="26" t="str">
        <f ca="1">IF($AA$2="入れる",VLOOKUP(8,list,13,FALSE),"")</f>
        <v/>
      </c>
      <c r="Y15" s="26"/>
      <c r="Z15" s="26"/>
      <c r="AA15" s="26"/>
      <c r="AB15" s="23" t="str">
        <f ca="1">VLOOKUP(7,list,24,FALSE)</f>
        <v/>
      </c>
      <c r="AC15" s="24"/>
      <c r="AD15" s="24"/>
      <c r="AE15" s="24"/>
      <c r="AF15" s="25"/>
      <c r="AG15" s="26" t="str">
        <f ca="1">IF($AA$2="入れる",VLOOKUP(7,list,13,FALSE),"")</f>
        <v/>
      </c>
      <c r="AH15" s="26"/>
      <c r="AI15" s="26"/>
      <c r="AJ15" s="26"/>
      <c r="AK15" s="23" t="str">
        <f ca="1">VLOOKUP(6,list,24,FALSE)</f>
        <v>る</v>
      </c>
      <c r="AL15" s="24"/>
      <c r="AM15" s="24"/>
      <c r="AN15" s="24"/>
      <c r="AO15" s="25"/>
      <c r="AP15" s="26" t="str">
        <f ca="1">IF($AA$2="入れる",VLOOKUP(6,list,13,FALSE),"")</f>
        <v/>
      </c>
      <c r="AQ15" s="26"/>
      <c r="AR15" s="26"/>
      <c r="AS15" s="26"/>
      <c r="AT15" s="23" t="str">
        <f ca="1">VLOOKUP(5,list,24,FALSE)</f>
        <v/>
      </c>
      <c r="AU15" s="24"/>
      <c r="AV15" s="24"/>
      <c r="AW15" s="24"/>
      <c r="AX15" s="25"/>
      <c r="AY15" s="26" t="str">
        <f ca="1">IF($AA$2="入れる",VLOOKUP(5,list,13,FALSE),"")</f>
        <v/>
      </c>
      <c r="AZ15" s="26"/>
      <c r="BA15" s="26"/>
      <c r="BB15" s="26"/>
      <c r="BC15" s="23" t="str">
        <f ca="1">VLOOKUP(4,list,24,FALSE)</f>
        <v/>
      </c>
      <c r="BD15" s="24"/>
      <c r="BE15" s="24"/>
      <c r="BF15" s="24"/>
      <c r="BG15" s="25"/>
      <c r="BH15" s="26" t="str">
        <f ca="1">IF($AA$2="入れる",VLOOKUP(4,list,13,FALSE),"")</f>
        <v/>
      </c>
      <c r="BI15" s="26"/>
      <c r="BJ15" s="26"/>
      <c r="BK15" s="26"/>
      <c r="BL15" s="23" t="str">
        <f ca="1">VLOOKUP(3,list,24,FALSE)</f>
        <v/>
      </c>
      <c r="BM15" s="24"/>
      <c r="BN15" s="24"/>
      <c r="BO15" s="24"/>
      <c r="BP15" s="25"/>
      <c r="BQ15" s="26" t="str">
        <f ca="1">IF($AA$2="入れる",VLOOKUP(3,list,13,FALSE),"")</f>
        <v/>
      </c>
      <c r="BR15" s="26"/>
      <c r="BS15" s="26"/>
      <c r="BT15" s="26"/>
      <c r="BU15" s="23" t="str">
        <f ca="1">VLOOKUP(2,list,24,FALSE)</f>
        <v/>
      </c>
      <c r="BV15" s="24"/>
      <c r="BW15" s="24"/>
      <c r="BX15" s="24"/>
      <c r="BY15" s="25"/>
      <c r="BZ15" s="26" t="str">
        <f ca="1">IF($AA$2="入れる",VLOOKUP(2,list,13,FALSE),"")</f>
        <v/>
      </c>
      <c r="CA15" s="26"/>
      <c r="CB15" s="26"/>
      <c r="CC15" s="26"/>
      <c r="CD15" s="23" t="str">
        <f ca="1">VLOOKUP(1,list,24,FALSE)</f>
        <v/>
      </c>
      <c r="CE15" s="24"/>
      <c r="CF15" s="24"/>
      <c r="CG15" s="24"/>
      <c r="CH15" s="25"/>
      <c r="CI15" s="26" t="str">
        <f ca="1">IF($AA$2="入れる",VLOOKUP(1,list,13,FALSE),"")</f>
        <v/>
      </c>
      <c r="CJ15" s="26"/>
      <c r="CK15" s="26"/>
      <c r="CL15" s="26"/>
      <c r="CM15" s="35"/>
      <c r="CN15" s="36"/>
      <c r="CO15" s="36"/>
      <c r="CP15" s="37"/>
      <c r="CX15" s="18"/>
    </row>
    <row r="16" spans="1:183" ht="18.75" x14ac:dyDescent="0.15">
      <c r="A16" s="38"/>
      <c r="B16" s="38"/>
      <c r="C16" s="38"/>
      <c r="D16" s="38"/>
      <c r="E16" s="38"/>
      <c r="F16" s="3"/>
      <c r="G16" s="3"/>
      <c r="H16" s="3"/>
      <c r="I16" s="3"/>
      <c r="J16" s="3"/>
      <c r="K16" s="3"/>
      <c r="L16" s="3"/>
      <c r="M16" s="3"/>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
      <c r="CI16" s="3"/>
      <c r="CJ16" s="3"/>
      <c r="CK16" s="3"/>
      <c r="CL16" s="3"/>
      <c r="CX16" s="19"/>
    </row>
    <row r="17" spans="102:108" ht="21" x14ac:dyDescent="0.15">
      <c r="CX17" s="18"/>
    </row>
    <row r="21" spans="102:108" ht="28.5" x14ac:dyDescent="0.15">
      <c r="DD21" s="22"/>
    </row>
    <row r="22" spans="102:108" ht="28.5" x14ac:dyDescent="0.15">
      <c r="DD22" s="22"/>
    </row>
    <row r="23" spans="102:108" ht="28.5" x14ac:dyDescent="0.15">
      <c r="DD23" s="22"/>
    </row>
    <row r="24" spans="102:108" ht="28.5" x14ac:dyDescent="0.15">
      <c r="DD24" s="22"/>
    </row>
    <row r="25" spans="102:108" ht="28.5" x14ac:dyDescent="0.15">
      <c r="DD25" s="22"/>
    </row>
  </sheetData>
  <sheetProtection formatCells="0" selectLockedCells="1"/>
  <protectedRanges>
    <protectedRange sqref="EZ7:FF7 ET7:EX7" name="範囲2"/>
    <protectedRange sqref="EO1:EV1" name="範囲1"/>
    <protectedRange sqref="A2:B2" name="範囲1_1"/>
  </protectedRanges>
  <mergeCells count="249">
    <mergeCell ref="EB1:EN1"/>
    <mergeCell ref="EB2:EN2"/>
    <mergeCell ref="AG5:AJ5"/>
    <mergeCell ref="AK5:AO5"/>
    <mergeCell ref="AT5:AX5"/>
    <mergeCell ref="A4:F4"/>
    <mergeCell ref="G4:L4"/>
    <mergeCell ref="M4:R4"/>
    <mergeCell ref="S4:X4"/>
    <mergeCell ref="Y4:AD4"/>
    <mergeCell ref="AE4:AJ4"/>
    <mergeCell ref="AK4:AP4"/>
    <mergeCell ref="AQ4:AV4"/>
    <mergeCell ref="A5:E5"/>
    <mergeCell ref="CD5:CH5"/>
    <mergeCell ref="AN1:AZ1"/>
    <mergeCell ref="AN2:AZ2"/>
    <mergeCell ref="AB5:AF5"/>
    <mergeCell ref="N2:Z2"/>
    <mergeCell ref="N1:Z1"/>
    <mergeCell ref="AA1:AM1"/>
    <mergeCell ref="AA2:AM2"/>
    <mergeCell ref="A1:M1"/>
    <mergeCell ref="A2:M2"/>
    <mergeCell ref="A6:E6"/>
    <mergeCell ref="A7:E7"/>
    <mergeCell ref="J5:N5"/>
    <mergeCell ref="AB8:AF8"/>
    <mergeCell ref="X5:AA5"/>
    <mergeCell ref="X6:AA6"/>
    <mergeCell ref="X7:AA7"/>
    <mergeCell ref="O7:R7"/>
    <mergeCell ref="S5:W5"/>
    <mergeCell ref="J6:N6"/>
    <mergeCell ref="S6:W6"/>
    <mergeCell ref="F5:I5"/>
    <mergeCell ref="F7:I7"/>
    <mergeCell ref="AB6:AF6"/>
    <mergeCell ref="J7:N7"/>
    <mergeCell ref="AG6:AJ6"/>
    <mergeCell ref="AB7:AF7"/>
    <mergeCell ref="F6:I6"/>
    <mergeCell ref="O5:R5"/>
    <mergeCell ref="BH15:BK15"/>
    <mergeCell ref="AK11:AO11"/>
    <mergeCell ref="CI6:CL6"/>
    <mergeCell ref="CI7:CL7"/>
    <mergeCell ref="CI5:CL5"/>
    <mergeCell ref="AK6:AO6"/>
    <mergeCell ref="AP7:AS7"/>
    <mergeCell ref="BZ13:CC13"/>
    <mergeCell ref="BZ12:CC12"/>
    <mergeCell ref="BQ7:BT7"/>
    <mergeCell ref="AT9:AX9"/>
    <mergeCell ref="AP9:AS9"/>
    <mergeCell ref="AP10:AS10"/>
    <mergeCell ref="AP11:AS11"/>
    <mergeCell ref="AT8:AX8"/>
    <mergeCell ref="BH11:BK11"/>
    <mergeCell ref="BH12:BK12"/>
    <mergeCell ref="BH13:BK13"/>
    <mergeCell ref="AY10:BB10"/>
    <mergeCell ref="BL9:BP9"/>
    <mergeCell ref="AY7:BB7"/>
    <mergeCell ref="BH7:BK7"/>
    <mergeCell ref="BC8:BG8"/>
    <mergeCell ref="BC9:BG9"/>
    <mergeCell ref="BL8:BP8"/>
    <mergeCell ref="S9:W9"/>
    <mergeCell ref="S8:W8"/>
    <mergeCell ref="O8:R8"/>
    <mergeCell ref="AK7:AO7"/>
    <mergeCell ref="AB9:AF9"/>
    <mergeCell ref="AK9:AO9"/>
    <mergeCell ref="AK8:AO8"/>
    <mergeCell ref="AG8:AJ8"/>
    <mergeCell ref="AG9:AJ9"/>
    <mergeCell ref="AT7:AX7"/>
    <mergeCell ref="AG7:AJ7"/>
    <mergeCell ref="BH8:BK8"/>
    <mergeCell ref="X8:AA8"/>
    <mergeCell ref="S7:W7"/>
    <mergeCell ref="X9:AA9"/>
    <mergeCell ref="O9:R9"/>
    <mergeCell ref="O10:R10"/>
    <mergeCell ref="A9:E9"/>
    <mergeCell ref="A10:E10"/>
    <mergeCell ref="A11:E11"/>
    <mergeCell ref="F13:I13"/>
    <mergeCell ref="J10:N10"/>
    <mergeCell ref="A8:E8"/>
    <mergeCell ref="S15:W15"/>
    <mergeCell ref="S14:W14"/>
    <mergeCell ref="S13:W13"/>
    <mergeCell ref="S12:W12"/>
    <mergeCell ref="S11:W11"/>
    <mergeCell ref="S10:W10"/>
    <mergeCell ref="O11:R11"/>
    <mergeCell ref="O12:R12"/>
    <mergeCell ref="O13:R13"/>
    <mergeCell ref="O14:R14"/>
    <mergeCell ref="O15:R15"/>
    <mergeCell ref="J9:N9"/>
    <mergeCell ref="J8:N8"/>
    <mergeCell ref="A12:E12"/>
    <mergeCell ref="F9:I9"/>
    <mergeCell ref="F10:I10"/>
    <mergeCell ref="F11:I11"/>
    <mergeCell ref="F12:I12"/>
    <mergeCell ref="J12:N12"/>
    <mergeCell ref="F15:I15"/>
    <mergeCell ref="F8:I8"/>
    <mergeCell ref="J11:N11"/>
    <mergeCell ref="A16:E16"/>
    <mergeCell ref="A14:E14"/>
    <mergeCell ref="A13:E13"/>
    <mergeCell ref="A15:E15"/>
    <mergeCell ref="F14:I14"/>
    <mergeCell ref="J14:N14"/>
    <mergeCell ref="J13:N13"/>
    <mergeCell ref="BU15:BY15"/>
    <mergeCell ref="BU14:BY14"/>
    <mergeCell ref="AK15:AO15"/>
    <mergeCell ref="AY13:BB13"/>
    <mergeCell ref="AP14:AS14"/>
    <mergeCell ref="AT15:AX15"/>
    <mergeCell ref="BC14:BG14"/>
    <mergeCell ref="BC15:BG15"/>
    <mergeCell ref="BQ14:BT14"/>
    <mergeCell ref="BQ15:BT15"/>
    <mergeCell ref="BC13:BG13"/>
    <mergeCell ref="AT14:AX14"/>
    <mergeCell ref="X14:AA14"/>
    <mergeCell ref="X15:AA15"/>
    <mergeCell ref="AB15:AF15"/>
    <mergeCell ref="AB14:AF14"/>
    <mergeCell ref="J15:N15"/>
    <mergeCell ref="CM4:CP7"/>
    <mergeCell ref="CM8:CP15"/>
    <mergeCell ref="CD13:CH13"/>
    <mergeCell ref="BU5:BY5"/>
    <mergeCell ref="BU6:BY6"/>
    <mergeCell ref="BU7:BY7"/>
    <mergeCell ref="BU8:BY8"/>
    <mergeCell ref="BU9:BY9"/>
    <mergeCell ref="BQ6:BT6"/>
    <mergeCell ref="BQ5:BT5"/>
    <mergeCell ref="CI14:CL14"/>
    <mergeCell ref="CI15:CL15"/>
    <mergeCell ref="BZ5:CC5"/>
    <mergeCell ref="BZ6:CC6"/>
    <mergeCell ref="BZ7:CC7"/>
    <mergeCell ref="BZ8:CC8"/>
    <mergeCell ref="BZ9:CC9"/>
    <mergeCell ref="BZ10:CC10"/>
    <mergeCell ref="BZ11:CC11"/>
    <mergeCell ref="CD8:CH8"/>
    <mergeCell ref="CD9:CH9"/>
    <mergeCell ref="BZ14:CC14"/>
    <mergeCell ref="BQ13:BT13"/>
    <mergeCell ref="CI10:CL10"/>
    <mergeCell ref="CI11:CL11"/>
    <mergeCell ref="CI12:CL12"/>
    <mergeCell ref="CI13:CL13"/>
    <mergeCell ref="CD14:CH14"/>
    <mergeCell ref="CD12:CH12"/>
    <mergeCell ref="CD10:CH10"/>
    <mergeCell ref="BL11:BP11"/>
    <mergeCell ref="BL12:BP12"/>
    <mergeCell ref="BL13:BP13"/>
    <mergeCell ref="BL14:BP14"/>
    <mergeCell ref="BU13:BY13"/>
    <mergeCell ref="BQ10:BT10"/>
    <mergeCell ref="BQ11:BT11"/>
    <mergeCell ref="BQ12:BT12"/>
    <mergeCell ref="BU11:BY11"/>
    <mergeCell ref="BU10:BY10"/>
    <mergeCell ref="EO1:EW1"/>
    <mergeCell ref="AY6:BB6"/>
    <mergeCell ref="AY8:BB8"/>
    <mergeCell ref="AY9:BB9"/>
    <mergeCell ref="CD6:CH6"/>
    <mergeCell ref="CD7:CH7"/>
    <mergeCell ref="BL6:BP6"/>
    <mergeCell ref="BL7:BP7"/>
    <mergeCell ref="BC6:BG6"/>
    <mergeCell ref="BC7:BG7"/>
    <mergeCell ref="BC5:BG5"/>
    <mergeCell ref="BH5:BK5"/>
    <mergeCell ref="AY5:BB5"/>
    <mergeCell ref="BL5:BP5"/>
    <mergeCell ref="AW4:BB4"/>
    <mergeCell ref="BC4:BH4"/>
    <mergeCell ref="BI4:BN4"/>
    <mergeCell ref="BO4:BT4"/>
    <mergeCell ref="BU4:BZ4"/>
    <mergeCell ref="CA4:CF4"/>
    <mergeCell ref="CG4:CL4"/>
    <mergeCell ref="CI8:CL8"/>
    <mergeCell ref="CI9:CL9"/>
    <mergeCell ref="BQ9:BT9"/>
    <mergeCell ref="AT6:AX6"/>
    <mergeCell ref="O6:R6"/>
    <mergeCell ref="BH6:BK6"/>
    <mergeCell ref="AP5:AS5"/>
    <mergeCell ref="AP6:AS6"/>
    <mergeCell ref="X10:AA10"/>
    <mergeCell ref="X11:AA11"/>
    <mergeCell ref="X12:AA12"/>
    <mergeCell ref="X13:AA13"/>
    <mergeCell ref="AG10:AJ10"/>
    <mergeCell ref="AK10:AO10"/>
    <mergeCell ref="AB11:AF11"/>
    <mergeCell ref="AB10:AF10"/>
    <mergeCell ref="AG11:AJ11"/>
    <mergeCell ref="AG12:AJ12"/>
    <mergeCell ref="AG13:AJ13"/>
    <mergeCell ref="AY11:BB11"/>
    <mergeCell ref="AY12:BB12"/>
    <mergeCell ref="BH9:BK9"/>
    <mergeCell ref="AT10:AX10"/>
    <mergeCell ref="BH10:BK10"/>
    <mergeCell ref="AT11:AX11"/>
    <mergeCell ref="AT12:AX12"/>
    <mergeCell ref="BC10:BG10"/>
    <mergeCell ref="CD15:CH15"/>
    <mergeCell ref="BL15:BP15"/>
    <mergeCell ref="AP15:AS15"/>
    <mergeCell ref="CD11:CH11"/>
    <mergeCell ref="AP12:AS12"/>
    <mergeCell ref="AB13:AF13"/>
    <mergeCell ref="AB12:AF12"/>
    <mergeCell ref="BQ8:BT8"/>
    <mergeCell ref="AP8:AS8"/>
    <mergeCell ref="AP13:AS13"/>
    <mergeCell ref="AT13:AX13"/>
    <mergeCell ref="AK14:AO14"/>
    <mergeCell ref="AK13:AO13"/>
    <mergeCell ref="AK12:AO12"/>
    <mergeCell ref="AG14:AJ14"/>
    <mergeCell ref="AG15:AJ15"/>
    <mergeCell ref="AY14:BB14"/>
    <mergeCell ref="AY15:BB15"/>
    <mergeCell ref="BH14:BK14"/>
    <mergeCell ref="BU12:BY12"/>
    <mergeCell ref="BZ15:CC15"/>
    <mergeCell ref="BC11:BG11"/>
    <mergeCell ref="BC12:BG12"/>
    <mergeCell ref="BL10:BP10"/>
  </mergeCells>
  <phoneticPr fontId="1"/>
  <conditionalFormatting sqref="ET7:EX7 EZ7:FF7">
    <cfRule type="cellIs" dxfId="22" priority="2212" operator="equal">
      <formula>"☓"</formula>
    </cfRule>
    <cfRule type="cellIs" dxfId="21" priority="2213" operator="equal">
      <formula>"○"</formula>
    </cfRule>
  </conditionalFormatting>
  <conditionalFormatting sqref="EB2:EN2">
    <cfRule type="cellIs" dxfId="20" priority="651" operator="equal">
      <formula>"しない"</formula>
    </cfRule>
    <cfRule type="cellIs" dxfId="19" priority="652" operator="equal">
      <formula>"する"</formula>
    </cfRule>
  </conditionalFormatting>
  <conditionalFormatting sqref="N2:Z2">
    <cfRule type="cellIs" dxfId="18" priority="649" operator="equal">
      <formula>"入れる"</formula>
    </cfRule>
    <cfRule type="cellIs" dxfId="17" priority="650" operator="equal">
      <formula>"入れない"</formula>
    </cfRule>
  </conditionalFormatting>
  <conditionalFormatting sqref="AA2:AM2">
    <cfRule type="cellIs" dxfId="16" priority="647" operator="equal">
      <formula>"入れる"</formula>
    </cfRule>
    <cfRule type="cellIs" dxfId="15" priority="648" operator="equal">
      <formula>"入れない"</formula>
    </cfRule>
  </conditionalFormatting>
  <conditionalFormatting sqref="AN2:AZ2">
    <cfRule type="cellIs" dxfId="14" priority="645" operator="equal">
      <formula>"黒文字"</formula>
    </cfRule>
    <cfRule type="cellIs" dxfId="13" priority="646" operator="equal">
      <formula>"なぞり文字"</formula>
    </cfRule>
  </conditionalFormatting>
  <conditionalFormatting sqref="CD5:CH5 A5:E5 J5:N5 S5:W5 AB5:AF5 AK5:AO5 AT5:AX5 BC5:BG5 BL5:BP5 BU5:BY5">
    <cfRule type="expression" dxfId="12" priority="2402">
      <formula>AND($AN$2="なぞり文字",A5&lt;&gt;$A$4,A5&lt;&gt;$G$4,A5&lt;&gt;$M$4,A5&lt;&gt;$S$4,A5&lt;&gt;$Y$4,A5&lt;&gt;$AE$4,A5&lt;&gt;$AK$4,A5&lt;&gt;$AQ$4,A5&lt;&gt;$AW$4,A5&lt;&gt;$BC$4,A5&lt;&gt;$BI$4,A5&lt;&gt;$BO$4,A5&lt;&gt;$BU$4,A5&lt;&gt;$CA$4,A5&lt;&gt;$CG$4)</formula>
    </cfRule>
    <cfRule type="expression" dxfId="11" priority="2403">
      <formula>AND($AN$2="黒文字",A5&lt;&gt;$A$4,A5&lt;&gt;$G$4,A5&lt;&gt;$M$4,A5&lt;&gt;$S$4,A5&lt;&gt;$Y$4,A5&lt;&gt;$AE$4,A5&lt;&gt;$AK$4,A5&lt;&gt;$AQ$4,A5&lt;&gt;$AW$4,A5&lt;&gt;$BC$4,A5&lt;&gt;$BI$4,A5&lt;&gt;$BO$4,A5&lt;&gt;$BU$4,A5&lt;&gt;$CA$4,A5&lt;&gt;$CG$4)</formula>
    </cfRule>
    <cfRule type="expression" dxfId="10" priority="2404">
      <formula>AND(A5&lt;&gt;$A$4,A5&lt;&gt;$G$4,A5&lt;&gt;$M$4,A5&lt;&gt;$S$4,A5&lt;&gt;$Y$4,A5&lt;&gt;$AE$4,A5&lt;&gt;$AK$4,A5&lt;&gt;$AQ$4,A5&lt;&gt;$AW$4,A5&lt;&gt;$BC$4,A5&lt;&gt;$BI$4,A5&lt;&gt;$BO$4,A5&lt;&gt;$BU$4,A5&lt;&gt;$CA$4,A5&lt;&gt;$CG$4,A6&lt;&gt;$A$4,A6&lt;&gt;$G$4,A6&lt;&gt;$M$4,A6&lt;&gt;$S$4,A6&lt;&gt;$Y$4,A6&lt;&gt;$AE$4,A6&lt;&gt;$AK$4,A6&lt;&gt;$AQ$4,A6&lt;&gt;$AW$4,A6&lt;&gt;$BC$4,A6&lt;&gt;$BI$4,A6&lt;&gt;$BO$4,A6&lt;&gt;$BU$4,A6&lt;&gt;$CA$4,A6&lt;&gt;$CG$4)</formula>
    </cfRule>
    <cfRule type="expression" dxfId="9" priority="2405">
      <formula>AND($N$2="入れない",OR(A5=$A$4,A5=$G$4,A5=$M$4,A5=$S$4,A5=$Y$4,A5=$AE$4,A5=$AK$4,A5=$AQ$4,A5=$AW$4,A5=$BC$4,A5=$BI$4,A5=$BO$4,A5=$BU$4,A5=$CA$4,A5=$CG$4))</formula>
    </cfRule>
  </conditionalFormatting>
  <conditionalFormatting sqref="CD6:CH14 A6:E14 J6:N14 S6:W14 AB6:AF14 AK6:AO14 AT6:AX14 BC6:BG14 BL6:BP14 BU6:BY14">
    <cfRule type="expression" dxfId="8" priority="2442">
      <formula>AND($N$2="入れない",OR(A6=$A$4,A6=$G$4,A6=$M$4,A6=$S$4,A6=$Y$4,A6=$AE$4,A6=$AK$4,A6=$AQ$4,A6=$AW$4,A6=$BC$4,A6=$BI$4,A6=$BO$4,A6=$BU$4,A6=$CA$4,A6=$CG$4))</formula>
    </cfRule>
    <cfRule type="expression" dxfId="7" priority="2443">
      <formula>AND($AN$2="なぞり文字",A6&lt;&gt;$A$4,A6&lt;&gt;$G$4,A6&lt;&gt;$M$4,A6&lt;&gt;$S$4,A6&lt;&gt;$Y$4,A6&lt;&gt;$AE$4,A6&lt;&gt;$AK$4,A6&lt;&gt;$AQ$4,A6&lt;&gt;$AW$4,A6&lt;&gt;$BC$4,A6&lt;&gt;$BI$4,A6&lt;&gt;$BO$4,A6&lt;&gt;$BU$4,A6&lt;&gt;$CA$4,A6&lt;&gt;$CG$4)</formula>
    </cfRule>
    <cfRule type="expression" dxfId="6" priority="2444">
      <formula>AND($AN$2="黒文字",A6&lt;&gt;$A$4,A6&lt;&gt;$G$4,A6&lt;&gt;$M$4,A6&lt;&gt;$S$4,A6&lt;&gt;$Y$4,A6&lt;&gt;$AE$4,A6&lt;&gt;$AK$4,A6&lt;&gt;$AQ$4,A6&lt;&gt;$AW$4,A6&lt;&gt;$BC$4,A6&lt;&gt;$BI$4,A6&lt;&gt;$BO$4,A6&lt;&gt;$BU$4,A6&lt;&gt;$CA$4,A6&lt;&gt;$CG$4)</formula>
    </cfRule>
    <cfRule type="expression" dxfId="5" priority="2445">
      <formula>AND(A5&lt;&gt;$A$4,A5&lt;&gt;$G$4,A5&lt;&gt;$M$4,A5&lt;&gt;$S$4,A5&lt;&gt;$Y$4,A5&lt;&gt;$AE$4,A5&lt;&gt;$AK$4,A5&lt;&gt;$AQ$4,A5&lt;&gt;$AW$4,A5&lt;&gt;$BC$4,A5&lt;&gt;$BI$4,A5&lt;&gt;$BO$4,A5&lt;&gt;$BU$4,A5&lt;&gt;$CA$4,A5&lt;&gt;$CG$4,A6&lt;&gt;$A$4,A6&lt;&gt;$G$4,A6&lt;&gt;$M$4,A6&lt;&gt;$S$4,A6&lt;&gt;$Y$4,A6&lt;&gt;$AE$4,A6&lt;&gt;$AK$4,A6&lt;&gt;$AQ$4,A6&lt;&gt;$AW$4,A6&lt;&gt;$BC$4,A6&lt;&gt;$BI$4,A6&lt;&gt;$BO$4,A6&lt;&gt;$BU$4,A6&lt;&gt;$CA$4,A6&lt;&gt;$CG$4)</formula>
    </cfRule>
    <cfRule type="expression" dxfId="4" priority="2446">
      <formula>AND(A6&lt;&gt;$A$4,A6&lt;&gt;$G$4,A6&lt;&gt;$M$4,A6&lt;&gt;$S$4,A6&lt;&gt;$Y$4,A6&lt;&gt;$AE$4,A6&lt;&gt;$AK$4,A6&lt;&gt;$AQ$4,A6&lt;&gt;$AW$4,A6&lt;&gt;$BC$4,A6&lt;&gt;$BI$4,A6&lt;&gt;$BO$4,A6&lt;&gt;$BU$4,A6&lt;&gt;$CA$4,A6&lt;&gt;$CG$4,A7&lt;&gt;$A$4,A7&lt;&gt;$G$4,A7&lt;&gt;$M$4,A7&lt;&gt;$S$4,A7&lt;&gt;$Y$4,A7&lt;&gt;$AE$4,A7&lt;&gt;$AK$4,A7&lt;&gt;$AQ$4,A7&lt;&gt;$AW$4,A7&lt;&gt;$BC$4,A7&lt;&gt;$BI$4,A7&lt;&gt;$BO$4,A7&lt;&gt;$BU$4,A7&lt;&gt;$CA$4,A7&lt;&gt;$CG$4)</formula>
    </cfRule>
  </conditionalFormatting>
  <conditionalFormatting sqref="CD15:CH15 A15:E15 J15:N15 S15:W15 AB15:AF15 AK15:AO15 AT15:AX15 BC15:BG15 BL15:BP15 BU15:BY15">
    <cfRule type="expression" dxfId="3" priority="2492">
      <formula>AND($AN$2="黒文字",A15&lt;&gt;$A$4,A15&lt;&gt;$G$4,A15&lt;&gt;$M$4,A15&lt;&gt;$S$4,A15&lt;&gt;$Y$4,A15&lt;&gt;$AE$4,A15&lt;&gt;$AK$4,A15&lt;&gt;$AQ$4,A15&lt;&gt;$AW$4,A15&lt;&gt;$BC$4,A15&lt;&gt;$BI$4,A15&lt;&gt;$BO$4,A15&lt;&gt;$BU$4,A15&lt;&gt;$CA$4,A15&lt;&gt;$CG$4,A16&lt;&gt;$A$4,A16&lt;&gt;$G$4,A16&lt;&gt;$M$4,A16&lt;&gt;$S$4,A16&lt;&gt;$Y$4,A16&lt;&gt;$AE$4,A16&lt;&gt;$AK$4,A16&lt;&gt;$AQ$4,A16&lt;&gt;$AW$4,A16&lt;&gt;$BC$4,A16&lt;&gt;$BI$4,A16&lt;&gt;$BO$4,A16&lt;&gt;$BU$4,A16&lt;&gt;$CA$4,A16&lt;&gt;$CG$4)</formula>
    </cfRule>
    <cfRule type="expression" dxfId="2" priority="2493">
      <formula>AND(A14&lt;&gt;$A$4,A14&lt;&gt;$G$4,A14&lt;&gt;$M$4,A14&lt;&gt;$S$4,A14&lt;&gt;$Y$4,A14&lt;&gt;$AE$4,A14&lt;&gt;$AK$4,A14&lt;&gt;$AQ$4,A14&lt;&gt;$AW$4,A14&lt;&gt;$BC$4,A14&lt;&gt;$BI$4,A14&lt;&gt;$BO$4,A14&lt;&gt;$BU$4,A14&lt;&gt;$CA$4,A14&lt;&gt;$CG$4,A15&lt;&gt;$A$4,A15&lt;&gt;$G$4,A15&lt;&gt;$M$4,A15&lt;&gt;$S$4,A15&lt;&gt;$Y$4,A15&lt;&gt;$AE$4,A15&lt;&gt;$AK$4,A15&lt;&gt;$AQ$4,A15&lt;&gt;$AW$4,A15&lt;&gt;$BC$4,A15&lt;&gt;$BI$4,A15&lt;&gt;$BO$4,A15&lt;&gt;$BU$4,A15&lt;&gt;$CA$4,A15&lt;&gt;$CG$4)</formula>
    </cfRule>
    <cfRule type="expression" dxfId="1" priority="2494">
      <formula>AND($AN$2="なぞり文字",A15&lt;&gt;$A$4,A15&lt;&gt;$G$4,A15&lt;&gt;$M$4,A15&lt;&gt;$S$4,A15&lt;&gt;$Y$4,A15&lt;&gt;$AE$4,A15&lt;&gt;$AK$4,A15&lt;&gt;$AQ$4,A15&lt;&gt;$AW$4,A15&lt;&gt;$BC$4,A15&lt;&gt;$BI$4,A15&lt;&gt;$BO$4,A15&lt;&gt;$BU$4,A15&lt;&gt;$CA$4,A15&lt;&gt;$CG$4,A16&lt;&gt;$A$4,A16&lt;&gt;$G$4,A16&lt;&gt;$M$4,A16&lt;&gt;$S$4,A16&lt;&gt;$Y$4,A16&lt;&gt;$AE$4,A16&lt;&gt;$AK$4,A16&lt;&gt;$AQ$4,A16&lt;&gt;$AW$4,A16&lt;&gt;$BC$4,A16&lt;&gt;$BI$4,A16&lt;&gt;$BO$4,A16&lt;&gt;$BU$4,A16&lt;&gt;$CA$4,A16&lt;&gt;$CG$4)</formula>
    </cfRule>
    <cfRule type="expression" dxfId="0" priority="2495">
      <formula>AND($N$2="入れない",OR(A15=$A$4,A15=$G$4,A15=$M$4,A15=$S$4,A15=$Y$4,A15=$AE$4,A15=$AK$4,A15=$AQ$4,A15=$AW$4,A15=$BC$4,A15=$BI$4,A15=$BO$4,A15=$BU$4,A15=$CA$4,A15=$CG$4))</formula>
    </cfRule>
  </conditionalFormatting>
  <dataValidations count="5">
    <dataValidation type="list" allowBlank="1" showInputMessage="1" showErrorMessage="1" sqref="EZ7:FF7">
      <formula1>"○,☓"</formula1>
    </dataValidation>
    <dataValidation type="list" allowBlank="1" showInputMessage="1" showErrorMessage="1" sqref="EB2">
      <formula1>"する,しない"</formula1>
    </dataValidation>
    <dataValidation type="list" allowBlank="1" showInputMessage="1" showErrorMessage="1" sqref="A2:M2">
      <formula1>"なし,小〇,大〇,全部,小うんち,大うんち,特大うんち"</formula1>
    </dataValidation>
    <dataValidation type="list" allowBlank="1" showInputMessage="1" showErrorMessage="1" sqref="N2:V2 AA2:AI2">
      <formula1>"入れる,入れない"</formula1>
    </dataValidation>
    <dataValidation type="list" allowBlank="1" showInputMessage="1" showErrorMessage="1" sqref="AN2:AV2">
      <formula1>"黒文字,なぞり文字"</formula1>
    </dataValidation>
  </dataValidations>
  <pageMargins left="0.51181102362204722" right="0.51181102362204722" top="0.59055118110236227" bottom="0.59055118110236227" header="0.51181102362204722" footer="0.51181102362204722"/>
  <pageSetup paperSize="9" scale="87" orientation="landscape" horizontalDpi="4294967293" verticalDpi="4294967293"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51"/>
  <sheetViews>
    <sheetView showGridLines="0" zoomScale="110" zoomScaleNormal="110" workbookViewId="0">
      <selection activeCell="P7" sqref="P7"/>
    </sheetView>
  </sheetViews>
  <sheetFormatPr defaultColWidth="9" defaultRowHeight="15.75" x14ac:dyDescent="0.15"/>
  <cols>
    <col min="1" max="1" width="3.5" style="4" bestFit="1" customWidth="1"/>
    <col min="2" max="5" width="5.625" style="17" customWidth="1"/>
    <col min="6" max="16" width="5.625" style="4" customWidth="1"/>
    <col min="17" max="24" width="3.375" style="4" bestFit="1" customWidth="1"/>
    <col min="25" max="25" width="9.25" style="4" customWidth="1"/>
    <col min="26" max="16384" width="9" style="4"/>
  </cols>
  <sheetData>
    <row r="1" spans="1:16" ht="16.5" thickBot="1" x14ac:dyDescent="0.2">
      <c r="B1" s="4" t="s">
        <v>10</v>
      </c>
    </row>
    <row r="2" spans="1:16" ht="15" x14ac:dyDescent="0.15">
      <c r="B2" s="60" t="s">
        <v>29</v>
      </c>
      <c r="C2" s="64" t="s">
        <v>30</v>
      </c>
      <c r="D2" s="64" t="s">
        <v>31</v>
      </c>
      <c r="E2" s="64" t="s">
        <v>32</v>
      </c>
      <c r="F2" s="64" t="s">
        <v>33</v>
      </c>
      <c r="G2" s="64" t="s">
        <v>77</v>
      </c>
      <c r="H2" s="64" t="s">
        <v>78</v>
      </c>
      <c r="I2" s="64" t="s">
        <v>79</v>
      </c>
      <c r="J2" s="64" t="s">
        <v>80</v>
      </c>
      <c r="K2" s="54" t="s">
        <v>81</v>
      </c>
      <c r="L2" s="54" t="s">
        <v>82</v>
      </c>
      <c r="M2" s="54" t="s">
        <v>83</v>
      </c>
      <c r="N2" s="54" t="s">
        <v>84</v>
      </c>
      <c r="O2" s="54" t="s">
        <v>85</v>
      </c>
      <c r="P2" s="56" t="s">
        <v>86</v>
      </c>
    </row>
    <row r="3" spans="1:16" thickBot="1" x14ac:dyDescent="0.2">
      <c r="B3" s="61"/>
      <c r="C3" s="65"/>
      <c r="D3" s="65"/>
      <c r="E3" s="65"/>
      <c r="F3" s="65"/>
      <c r="G3" s="65"/>
      <c r="H3" s="65"/>
      <c r="I3" s="65"/>
      <c r="J3" s="65"/>
      <c r="K3" s="55"/>
      <c r="L3" s="55"/>
      <c r="M3" s="55"/>
      <c r="N3" s="55"/>
      <c r="O3" s="55"/>
      <c r="P3" s="57"/>
    </row>
    <row r="4" spans="1:16" ht="16.5" thickBot="1" x14ac:dyDescent="0.2"/>
    <row r="5" spans="1:16" ht="16.5" thickBot="1" x14ac:dyDescent="0.2">
      <c r="A5" s="6"/>
      <c r="B5" s="7" t="s">
        <v>7</v>
      </c>
      <c r="C5" s="8"/>
      <c r="D5" s="8"/>
      <c r="E5" s="8" t="s">
        <v>11</v>
      </c>
      <c r="F5" s="9"/>
      <c r="G5" s="9"/>
      <c r="H5" s="9"/>
      <c r="I5" s="9"/>
      <c r="J5" s="9"/>
      <c r="K5" s="9"/>
      <c r="L5" s="9"/>
      <c r="M5" s="9"/>
      <c r="N5" s="9"/>
      <c r="O5" s="9"/>
      <c r="P5" s="10"/>
    </row>
    <row r="6" spans="1:16" ht="15" x14ac:dyDescent="0.15">
      <c r="A6" s="58">
        <v>1</v>
      </c>
      <c r="B6" s="66" t="s">
        <v>41</v>
      </c>
      <c r="C6" s="67"/>
      <c r="D6" s="68"/>
      <c r="E6" s="62">
        <f>LEN(B6)</f>
        <v>7</v>
      </c>
      <c r="F6" s="11" t="str">
        <f>MID(B6,1,1)</f>
        <v>全</v>
      </c>
      <c r="G6" s="12" t="str">
        <f>MID(B6,2,1)</f>
        <v>校</v>
      </c>
      <c r="H6" s="12" t="str">
        <f>MID(B6,3,1)</f>
        <v>放</v>
      </c>
      <c r="I6" s="12" t="str">
        <f>MID(B6,4,1)</f>
        <v>送</v>
      </c>
      <c r="J6" s="12" t="str">
        <f>MID(B6,5,1)</f>
        <v>を</v>
      </c>
      <c r="K6" s="12" t="str">
        <f>MID(B6,6,1)</f>
        <v>す</v>
      </c>
      <c r="L6" s="12" t="str">
        <f>MID(B6,7,1)</f>
        <v>る</v>
      </c>
      <c r="M6" s="12" t="str">
        <f>MID(B6,8,1)</f>
        <v/>
      </c>
      <c r="N6" s="12" t="str">
        <f>MID(B6,9,1)</f>
        <v/>
      </c>
      <c r="O6" s="12" t="str">
        <f>MID(B6,10,1)</f>
        <v/>
      </c>
      <c r="P6" s="13" t="str">
        <f>MID(B6,11,1)</f>
        <v/>
      </c>
    </row>
    <row r="7" spans="1:16" thickBot="1" x14ac:dyDescent="0.2">
      <c r="A7" s="59"/>
      <c r="B7" s="69"/>
      <c r="C7" s="70"/>
      <c r="D7" s="71"/>
      <c r="E7" s="63"/>
      <c r="F7" s="14" t="s">
        <v>44</v>
      </c>
      <c r="G7" s="15" t="s">
        <v>45</v>
      </c>
      <c r="H7" s="15" t="s">
        <v>46</v>
      </c>
      <c r="I7" s="15" t="s">
        <v>47</v>
      </c>
      <c r="J7" s="15"/>
      <c r="K7" s="15"/>
      <c r="L7" s="15"/>
      <c r="M7" s="15"/>
      <c r="N7" s="15"/>
      <c r="O7" s="15"/>
      <c r="P7" s="16"/>
    </row>
    <row r="8" spans="1:16" ht="15" x14ac:dyDescent="0.15">
      <c r="A8" s="58">
        <v>2</v>
      </c>
      <c r="B8" s="72" t="s">
        <v>43</v>
      </c>
      <c r="C8" s="70"/>
      <c r="D8" s="71"/>
      <c r="E8" s="62">
        <f>LEN(B8)</f>
        <v>6</v>
      </c>
      <c r="F8" s="11" t="str">
        <f>MID(B8,1,1)</f>
        <v>本</v>
      </c>
      <c r="G8" s="12" t="str">
        <f>MID(B8,2,1)</f>
        <v>を</v>
      </c>
      <c r="H8" s="12" t="str">
        <f>MID(B8,3,1)</f>
        <v>読</v>
      </c>
      <c r="I8" s="12" t="str">
        <f>MID(B8,4,1)</f>
        <v>む</v>
      </c>
      <c r="J8" s="12" t="str">
        <f>MID(B8,5,1)</f>
        <v>速</v>
      </c>
      <c r="K8" s="12" t="str">
        <f>MID(B8,6,1)</f>
        <v>さ</v>
      </c>
      <c r="L8" s="12" t="str">
        <f>MID(B8,7,1)</f>
        <v/>
      </c>
      <c r="M8" s="12" t="str">
        <f>MID(B8,8,1)</f>
        <v/>
      </c>
      <c r="N8" s="12" t="str">
        <f>MID(B8,9,1)</f>
        <v/>
      </c>
      <c r="O8" s="12" t="str">
        <f>MID(B8,10,1)</f>
        <v/>
      </c>
      <c r="P8" s="13" t="str">
        <f>MID(B8,11,1)</f>
        <v/>
      </c>
    </row>
    <row r="9" spans="1:16" thickBot="1" x14ac:dyDescent="0.2">
      <c r="A9" s="59"/>
      <c r="B9" s="69"/>
      <c r="C9" s="70"/>
      <c r="D9" s="71"/>
      <c r="E9" s="63"/>
      <c r="F9" s="14" t="s">
        <v>48</v>
      </c>
      <c r="G9" s="15"/>
      <c r="H9" s="15" t="s">
        <v>49</v>
      </c>
      <c r="I9" s="15"/>
      <c r="J9" s="15" t="s">
        <v>50</v>
      </c>
      <c r="K9" s="15"/>
      <c r="L9" s="15"/>
      <c r="M9" s="15"/>
      <c r="N9" s="15"/>
      <c r="O9" s="15"/>
      <c r="P9" s="16"/>
    </row>
    <row r="10" spans="1:16" ht="15" x14ac:dyDescent="0.15">
      <c r="A10" s="58">
        <v>3</v>
      </c>
      <c r="B10" s="72" t="s">
        <v>42</v>
      </c>
      <c r="C10" s="70"/>
      <c r="D10" s="71"/>
      <c r="E10" s="62">
        <f>LEN(B10)</f>
        <v>8</v>
      </c>
      <c r="F10" s="11" t="str">
        <f>MID(B10,1,1)</f>
        <v>車</v>
      </c>
      <c r="G10" s="12" t="str">
        <f>MID(B10,2,1)</f>
        <v>の</v>
      </c>
      <c r="H10" s="12" t="str">
        <f>MID(B10,3,1)</f>
        <v>速</v>
      </c>
      <c r="I10" s="12" t="str">
        <f>MID(B10,4,1)</f>
        <v>度</v>
      </c>
      <c r="J10" s="12" t="str">
        <f>MID(B10,5,1)</f>
        <v>を</v>
      </c>
      <c r="K10" s="12" t="str">
        <f>MID(B10,6,1)</f>
        <v>は</v>
      </c>
      <c r="L10" s="12" t="str">
        <f>MID(B10,7,1)</f>
        <v>か</v>
      </c>
      <c r="M10" s="12" t="str">
        <f>MID(B10,8,1)</f>
        <v>る</v>
      </c>
      <c r="N10" s="12" t="str">
        <f>MID(B10,9,1)</f>
        <v/>
      </c>
      <c r="O10" s="12" t="str">
        <f>MID(B10,10,1)</f>
        <v/>
      </c>
      <c r="P10" s="13" t="str">
        <f>MID(B10,11,1)</f>
        <v/>
      </c>
    </row>
    <row r="11" spans="1:16" thickBot="1" x14ac:dyDescent="0.2">
      <c r="A11" s="59"/>
      <c r="B11" s="69"/>
      <c r="C11" s="70"/>
      <c r="D11" s="71"/>
      <c r="E11" s="63"/>
      <c r="F11" s="14" t="s">
        <v>51</v>
      </c>
      <c r="G11" s="15"/>
      <c r="H11" s="15" t="s">
        <v>52</v>
      </c>
      <c r="I11" s="15" t="s">
        <v>53</v>
      </c>
      <c r="J11" s="15"/>
      <c r="K11" s="15"/>
      <c r="L11" s="15"/>
      <c r="M11" s="15"/>
      <c r="N11" s="15"/>
      <c r="O11" s="15"/>
      <c r="P11" s="16"/>
    </row>
    <row r="12" spans="1:16" ht="15" x14ac:dyDescent="0.15">
      <c r="A12" s="58">
        <v>4</v>
      </c>
      <c r="B12" s="72" t="s">
        <v>40</v>
      </c>
      <c r="C12" s="70"/>
      <c r="D12" s="71"/>
      <c r="E12" s="62">
        <f>LEN(B12)</f>
        <v>6</v>
      </c>
      <c r="F12" s="11" t="str">
        <f>MID(B12,1,1)</f>
        <v>湖</v>
      </c>
      <c r="G12" s="12" t="str">
        <f>MID(B12,2,1)</f>
        <v>に</v>
      </c>
      <c r="H12" s="12" t="str">
        <f>MID(B12,3,1)</f>
        <v>魚</v>
      </c>
      <c r="I12" s="12" t="str">
        <f>MID(B12,4,1)</f>
        <v>を</v>
      </c>
      <c r="J12" s="12" t="str">
        <f>MID(B12,5,1)</f>
        <v>放</v>
      </c>
      <c r="K12" s="12" t="str">
        <f>MID(B12,6,1)</f>
        <v>す</v>
      </c>
      <c r="L12" s="12" t="str">
        <f>MID(B12,7,1)</f>
        <v/>
      </c>
      <c r="M12" s="12" t="str">
        <f>MID(B12,8,1)</f>
        <v/>
      </c>
      <c r="N12" s="12" t="str">
        <f>MID(B12,9,1)</f>
        <v/>
      </c>
      <c r="O12" s="12" t="str">
        <f>MID(B12,10,1)</f>
        <v/>
      </c>
      <c r="P12" s="13" t="str">
        <f>MID(B12,11,1)</f>
        <v/>
      </c>
    </row>
    <row r="13" spans="1:16" thickBot="1" x14ac:dyDescent="0.2">
      <c r="A13" s="59"/>
      <c r="B13" s="69"/>
      <c r="C13" s="70"/>
      <c r="D13" s="71"/>
      <c r="E13" s="63"/>
      <c r="F13" s="14" t="s">
        <v>54</v>
      </c>
      <c r="G13" s="15"/>
      <c r="H13" s="15" t="s">
        <v>55</v>
      </c>
      <c r="I13" s="15"/>
      <c r="J13" s="15" t="s">
        <v>56</v>
      </c>
      <c r="K13" s="15"/>
      <c r="L13" s="15"/>
      <c r="M13" s="15"/>
      <c r="N13" s="15"/>
      <c r="O13" s="15"/>
      <c r="P13" s="16"/>
    </row>
    <row r="14" spans="1:16" ht="15" x14ac:dyDescent="0.15">
      <c r="A14" s="58">
        <v>5</v>
      </c>
      <c r="B14" s="72" t="s">
        <v>39</v>
      </c>
      <c r="C14" s="70"/>
      <c r="D14" s="71"/>
      <c r="E14" s="62">
        <f>LEN(B14)</f>
        <v>6</v>
      </c>
      <c r="F14" s="11" t="str">
        <f>MID(B14,1,1)</f>
        <v>ギ</v>
      </c>
      <c r="G14" s="12" t="str">
        <f>MID(B14,2,1)</f>
        <v>リ</v>
      </c>
      <c r="H14" s="12" t="str">
        <f>MID(B14,3,1)</f>
        <v>シ</v>
      </c>
      <c r="I14" s="12" t="str">
        <f>MID(B14,4,1)</f>
        <v>ャ</v>
      </c>
      <c r="J14" s="12" t="str">
        <f>MID(B14,5,1)</f>
        <v>神</v>
      </c>
      <c r="K14" s="12" t="str">
        <f>MID(B14,6,1)</f>
        <v>話</v>
      </c>
      <c r="L14" s="12" t="str">
        <f>MID(B14,7,1)</f>
        <v/>
      </c>
      <c r="M14" s="12" t="str">
        <f>MID(B14,8,1)</f>
        <v/>
      </c>
      <c r="N14" s="12" t="str">
        <f>MID(B14,9,1)</f>
        <v/>
      </c>
      <c r="O14" s="12" t="str">
        <f>MID(B14,10,1)</f>
        <v/>
      </c>
      <c r="P14" s="13" t="str">
        <f>MID(B14,11,1)</f>
        <v/>
      </c>
    </row>
    <row r="15" spans="1:16" thickBot="1" x14ac:dyDescent="0.2">
      <c r="A15" s="59"/>
      <c r="B15" s="69"/>
      <c r="C15" s="70"/>
      <c r="D15" s="71"/>
      <c r="E15" s="63"/>
      <c r="F15" s="14"/>
      <c r="G15" s="15"/>
      <c r="H15" s="15"/>
      <c r="I15" s="15"/>
      <c r="J15" s="15" t="s">
        <v>57</v>
      </c>
      <c r="K15" s="15" t="s">
        <v>58</v>
      </c>
      <c r="L15" s="15"/>
      <c r="M15" s="15"/>
      <c r="N15" s="15"/>
      <c r="O15" s="15"/>
      <c r="P15" s="16"/>
    </row>
    <row r="16" spans="1:16" ht="15" x14ac:dyDescent="0.15">
      <c r="A16" s="58">
        <v>6</v>
      </c>
      <c r="B16" s="72" t="s">
        <v>38</v>
      </c>
      <c r="C16" s="70"/>
      <c r="D16" s="71"/>
      <c r="E16" s="62">
        <f>LEN(B16)</f>
        <v>10</v>
      </c>
      <c r="F16" s="11" t="str">
        <f>MID(B16,1,1)</f>
        <v>放</v>
      </c>
      <c r="G16" s="12" t="str">
        <f>MID(B16,2,1)</f>
        <v>か</v>
      </c>
      <c r="H16" s="12" t="str">
        <f>MID(B16,3,1)</f>
        <v>後</v>
      </c>
      <c r="I16" s="12" t="str">
        <f>MID(B16,4,1)</f>
        <v>に</v>
      </c>
      <c r="J16" s="12" t="str">
        <f>MID(B16,5,1)</f>
        <v>友</v>
      </c>
      <c r="K16" s="12" t="str">
        <f>MID(B16,6,1)</f>
        <v>だ</v>
      </c>
      <c r="L16" s="12" t="str">
        <f>MID(B16,7,1)</f>
        <v>ち</v>
      </c>
      <c r="M16" s="12" t="str">
        <f>MID(B16,8,1)</f>
        <v>と</v>
      </c>
      <c r="N16" s="12" t="str">
        <f>MID(B16,9,1)</f>
        <v>遊</v>
      </c>
      <c r="O16" s="12" t="str">
        <f>MID(B16,10,1)</f>
        <v>ぶ</v>
      </c>
      <c r="P16" s="13" t="str">
        <f>MID(B16,11,1)</f>
        <v/>
      </c>
    </row>
    <row r="17" spans="1:16" thickBot="1" x14ac:dyDescent="0.2">
      <c r="A17" s="59"/>
      <c r="B17" s="69"/>
      <c r="C17" s="70"/>
      <c r="D17" s="71"/>
      <c r="E17" s="63"/>
      <c r="F17" s="14" t="s">
        <v>59</v>
      </c>
      <c r="G17" s="15"/>
      <c r="H17" s="15" t="s">
        <v>60</v>
      </c>
      <c r="I17" s="15"/>
      <c r="J17" s="15" t="s">
        <v>61</v>
      </c>
      <c r="K17" s="15"/>
      <c r="L17" s="15"/>
      <c r="M17" s="15"/>
      <c r="N17" s="15" t="s">
        <v>62</v>
      </c>
      <c r="O17" s="15"/>
      <c r="P17" s="16"/>
    </row>
    <row r="18" spans="1:16" ht="15" x14ac:dyDescent="0.15">
      <c r="A18" s="58">
        <v>7</v>
      </c>
      <c r="B18" s="72" t="s">
        <v>37</v>
      </c>
      <c r="C18" s="70"/>
      <c r="D18" s="71"/>
      <c r="E18" s="62">
        <f>LEN(B18)</f>
        <v>11</v>
      </c>
      <c r="F18" s="11" t="str">
        <f>MID(B18,1,1)</f>
        <v>医</v>
      </c>
      <c r="G18" s="12" t="str">
        <f>MID(B18,2,1)</f>
        <v>者</v>
      </c>
      <c r="H18" s="12" t="str">
        <f>MID(B18,3,1)</f>
        <v>が</v>
      </c>
      <c r="I18" s="12" t="str">
        <f>MID(B18,4,1)</f>
        <v>薬</v>
      </c>
      <c r="J18" s="12" t="str">
        <f>MID(B18,5,1)</f>
        <v>箱</v>
      </c>
      <c r="K18" s="12" t="str">
        <f>MID(B18,6,1)</f>
        <v>を</v>
      </c>
      <c r="L18" s="12" t="str">
        <f>MID(B18,7,1)</f>
        <v>持</v>
      </c>
      <c r="M18" s="12" t="str">
        <f>MID(B18,8,1)</f>
        <v>っ</v>
      </c>
      <c r="N18" s="12" t="str">
        <f>MID(B18,9,1)</f>
        <v>て</v>
      </c>
      <c r="O18" s="12" t="str">
        <f>MID(B18,10,1)</f>
        <v>く</v>
      </c>
      <c r="P18" s="13" t="str">
        <f>MID(B18,11,1)</f>
        <v>る</v>
      </c>
    </row>
    <row r="19" spans="1:16" thickBot="1" x14ac:dyDescent="0.2">
      <c r="A19" s="59"/>
      <c r="B19" s="69"/>
      <c r="C19" s="70"/>
      <c r="D19" s="71"/>
      <c r="E19" s="63"/>
      <c r="F19" s="14" t="s">
        <v>63</v>
      </c>
      <c r="G19" s="15" t="s">
        <v>64</v>
      </c>
      <c r="H19" s="15"/>
      <c r="I19" s="15" t="s">
        <v>65</v>
      </c>
      <c r="J19" s="15" t="s">
        <v>66</v>
      </c>
      <c r="K19" s="15"/>
      <c r="L19" s="15" t="s">
        <v>67</v>
      </c>
      <c r="M19" s="15"/>
      <c r="N19" s="15"/>
      <c r="O19" s="15"/>
      <c r="P19" s="16"/>
    </row>
    <row r="20" spans="1:16" ht="15" x14ac:dyDescent="0.15">
      <c r="A20" s="58">
        <v>8</v>
      </c>
      <c r="B20" s="72" t="s">
        <v>36</v>
      </c>
      <c r="C20" s="70"/>
      <c r="D20" s="71"/>
      <c r="E20" s="62">
        <f>LEN(B20)</f>
        <v>8</v>
      </c>
      <c r="F20" s="11" t="str">
        <f>MID(B20,1,1)</f>
        <v>せ</v>
      </c>
      <c r="G20" s="12" t="str">
        <f>MID(B20,2,1)</f>
        <v>ん</v>
      </c>
      <c r="H20" s="12" t="str">
        <f>MID(B20,3,1)</f>
        <v>湯</v>
      </c>
      <c r="I20" s="12" t="str">
        <f>MID(B20,4,1)</f>
        <v>の</v>
      </c>
      <c r="J20" s="12" t="str">
        <f>MID(B20,5,1)</f>
        <v>あ</v>
      </c>
      <c r="K20" s="12" t="str">
        <f>MID(B20,6,1)</f>
        <v>ら</v>
      </c>
      <c r="L20" s="12" t="str">
        <f>MID(B20,7,1)</f>
        <v>い</v>
      </c>
      <c r="M20" s="12" t="str">
        <f>MID(B20,8,1)</f>
        <v>場</v>
      </c>
      <c r="N20" s="12" t="str">
        <f>MID(B20,9,1)</f>
        <v/>
      </c>
      <c r="O20" s="12" t="str">
        <f>MID(B20,10,1)</f>
        <v/>
      </c>
      <c r="P20" s="13" t="str">
        <f>MID(B20,11,1)</f>
        <v/>
      </c>
    </row>
    <row r="21" spans="1:16" thickBot="1" x14ac:dyDescent="0.2">
      <c r="A21" s="59"/>
      <c r="B21" s="69"/>
      <c r="C21" s="70"/>
      <c r="D21" s="71"/>
      <c r="E21" s="63"/>
      <c r="F21" s="14"/>
      <c r="G21" s="15"/>
      <c r="H21" s="15" t="s">
        <v>68</v>
      </c>
      <c r="I21" s="15"/>
      <c r="J21" s="15"/>
      <c r="K21" s="15"/>
      <c r="L21" s="15"/>
      <c r="M21" s="15" t="s">
        <v>69</v>
      </c>
      <c r="N21" s="15"/>
      <c r="O21" s="15"/>
      <c r="P21" s="16"/>
    </row>
    <row r="22" spans="1:16" ht="15" x14ac:dyDescent="0.15">
      <c r="A22" s="58">
        <v>9</v>
      </c>
      <c r="B22" s="72" t="s">
        <v>35</v>
      </c>
      <c r="C22" s="70"/>
      <c r="D22" s="71"/>
      <c r="E22" s="62">
        <f>LEN(B22)</f>
        <v>10</v>
      </c>
      <c r="F22" s="11" t="str">
        <f>MID(B22,1,1)</f>
        <v>カ</v>
      </c>
      <c r="G22" s="12" t="str">
        <f>MID(B22,2,1)</f>
        <v>ッ</v>
      </c>
      <c r="H22" s="12" t="str">
        <f>MID(B22,3,1)</f>
        <v>プ</v>
      </c>
      <c r="I22" s="12" t="str">
        <f>MID(B22,4,1)</f>
        <v>に</v>
      </c>
      <c r="J22" s="12" t="str">
        <f>MID(B22,5,1)</f>
        <v>ね</v>
      </c>
      <c r="K22" s="12" t="str">
        <f>MID(B22,6,1)</f>
        <v>っ</v>
      </c>
      <c r="L22" s="12" t="str">
        <f>MID(B22,7,1)</f>
        <v>湯</v>
      </c>
      <c r="M22" s="12" t="str">
        <f>MID(B22,8,1)</f>
        <v>を</v>
      </c>
      <c r="N22" s="12" t="str">
        <f>MID(B22,9,1)</f>
        <v>注</v>
      </c>
      <c r="O22" s="12" t="str">
        <f>MID(B22,10,1)</f>
        <v>ぐ</v>
      </c>
      <c r="P22" s="13" t="str">
        <f>MID(B22,11,1)</f>
        <v/>
      </c>
    </row>
    <row r="23" spans="1:16" thickBot="1" x14ac:dyDescent="0.2">
      <c r="A23" s="59"/>
      <c r="B23" s="69"/>
      <c r="C23" s="70"/>
      <c r="D23" s="71"/>
      <c r="E23" s="63"/>
      <c r="F23" s="14"/>
      <c r="G23" s="15"/>
      <c r="H23" s="15"/>
      <c r="I23" s="15"/>
      <c r="J23" s="15"/>
      <c r="K23" s="15"/>
      <c r="L23" s="15" t="s">
        <v>68</v>
      </c>
      <c r="M23" s="15"/>
      <c r="N23" s="15" t="s">
        <v>70</v>
      </c>
      <c r="O23" s="15"/>
      <c r="P23" s="16"/>
    </row>
    <row r="24" spans="1:16" ht="15" x14ac:dyDescent="0.15">
      <c r="A24" s="58">
        <v>10</v>
      </c>
      <c r="B24" s="72" t="s">
        <v>34</v>
      </c>
      <c r="C24" s="70"/>
      <c r="D24" s="71"/>
      <c r="E24" s="62">
        <f>LEN(B24)</f>
        <v>10</v>
      </c>
      <c r="F24" s="11" t="str">
        <f>MID(B24,1,1)</f>
        <v>山</v>
      </c>
      <c r="G24" s="12" t="str">
        <f>MID(B24,2,1)</f>
        <v>の</v>
      </c>
      <c r="H24" s="12" t="str">
        <f>MID(B24,3,1)</f>
        <v>神</v>
      </c>
      <c r="I24" s="12" t="str">
        <f>MID(B24,4,1)</f>
        <v>様</v>
      </c>
      <c r="J24" s="12" t="str">
        <f>MID(B24,5,1)</f>
        <v>を</v>
      </c>
      <c r="K24" s="12" t="str">
        <f>MID(B24,6,1)</f>
        <v>祭</v>
      </c>
      <c r="L24" s="12" t="str">
        <f>MID(B24,7,1)</f>
        <v>っ</v>
      </c>
      <c r="M24" s="12" t="str">
        <f>MID(B24,8,1)</f>
        <v>た</v>
      </c>
      <c r="N24" s="12" t="str">
        <f>MID(B24,9,1)</f>
        <v>神</v>
      </c>
      <c r="O24" s="12" t="str">
        <f>MID(B24,10,1)</f>
        <v>社</v>
      </c>
      <c r="P24" s="13" t="str">
        <f>MID(B24,11,1)</f>
        <v/>
      </c>
    </row>
    <row r="25" spans="1:16" thickBot="1" x14ac:dyDescent="0.2">
      <c r="A25" s="59"/>
      <c r="B25" s="73"/>
      <c r="C25" s="74"/>
      <c r="D25" s="75"/>
      <c r="E25" s="63"/>
      <c r="F25" s="14" t="s">
        <v>71</v>
      </c>
      <c r="G25" s="15"/>
      <c r="H25" s="15" t="s">
        <v>72</v>
      </c>
      <c r="I25" s="15" t="s">
        <v>73</v>
      </c>
      <c r="J25" s="15"/>
      <c r="K25" s="15" t="s">
        <v>74</v>
      </c>
      <c r="L25" s="15"/>
      <c r="M25" s="15"/>
      <c r="N25" s="15" t="s">
        <v>75</v>
      </c>
      <c r="O25" s="15" t="s">
        <v>76</v>
      </c>
      <c r="P25" s="16"/>
    </row>
    <row r="39" spans="17:41" hidden="1" x14ac:dyDescent="0.15">
      <c r="Q39" s="4">
        <f ca="1">RAND()</f>
        <v>0.15974876722838482</v>
      </c>
      <c r="R39" s="4">
        <f ca="1">IF(印刷シート!$EB$2="する",RANK(Q39,$Q$39:$Q$48,0),1)</f>
        <v>8</v>
      </c>
      <c r="S39" s="17" t="str">
        <f>B2</f>
        <v>放</v>
      </c>
      <c r="T39" s="4" t="str">
        <f t="shared" ref="T39:AD39" si="0">IF(F7="","",F7)</f>
        <v>ぜん</v>
      </c>
      <c r="U39" s="4" t="str">
        <f t="shared" si="0"/>
        <v>こう</v>
      </c>
      <c r="V39" s="4" t="str">
        <f t="shared" si="0"/>
        <v>ほう</v>
      </c>
      <c r="W39" s="4" t="str">
        <f t="shared" si="0"/>
        <v>そう</v>
      </c>
      <c r="X39" s="4" t="str">
        <f t="shared" si="0"/>
        <v/>
      </c>
      <c r="Y39" s="4" t="str">
        <f t="shared" si="0"/>
        <v/>
      </c>
      <c r="Z39" s="4" t="str">
        <f t="shared" si="0"/>
        <v/>
      </c>
      <c r="AA39" s="4" t="str">
        <f t="shared" si="0"/>
        <v/>
      </c>
      <c r="AB39" s="4" t="str">
        <f t="shared" si="0"/>
        <v/>
      </c>
      <c r="AC39" s="4" t="str">
        <f t="shared" si="0"/>
        <v/>
      </c>
      <c r="AD39" s="4" t="str">
        <f t="shared" si="0"/>
        <v/>
      </c>
      <c r="AE39" s="4" t="str">
        <f t="shared" ref="AE39:AO39" si="1">IF(F6="","",F6)</f>
        <v>全</v>
      </c>
      <c r="AF39" s="4" t="str">
        <f t="shared" si="1"/>
        <v>校</v>
      </c>
      <c r="AG39" s="4" t="str">
        <f t="shared" si="1"/>
        <v>放</v>
      </c>
      <c r="AH39" s="4" t="str">
        <f t="shared" si="1"/>
        <v>送</v>
      </c>
      <c r="AI39" s="4" t="str">
        <f t="shared" si="1"/>
        <v>を</v>
      </c>
      <c r="AJ39" s="4" t="str">
        <f t="shared" si="1"/>
        <v>す</v>
      </c>
      <c r="AK39" s="4" t="str">
        <f t="shared" si="1"/>
        <v>る</v>
      </c>
      <c r="AL39" s="4" t="str">
        <f t="shared" si="1"/>
        <v/>
      </c>
      <c r="AM39" s="4" t="str">
        <f t="shared" si="1"/>
        <v/>
      </c>
      <c r="AN39" s="4" t="str">
        <f t="shared" si="1"/>
        <v/>
      </c>
      <c r="AO39" s="4" t="str">
        <f t="shared" si="1"/>
        <v/>
      </c>
    </row>
    <row r="40" spans="17:41" hidden="1" x14ac:dyDescent="0.15">
      <c r="Q40" s="4">
        <f t="shared" ref="Q40:Q48" ca="1" si="2">RAND()</f>
        <v>0.55482300035087473</v>
      </c>
      <c r="R40" s="4">
        <f ca="1">IF(印刷シート!$EB$2="する",RANK(Q40,$Q$39:$Q$48,0),2)</f>
        <v>5</v>
      </c>
      <c r="S40" s="17" t="str">
        <f>C2</f>
        <v>速</v>
      </c>
      <c r="T40" s="4" t="str">
        <f t="shared" ref="T40:AD40" si="3">IF(F9="","",F9)</f>
        <v>ほん</v>
      </c>
      <c r="U40" s="4" t="str">
        <f t="shared" si="3"/>
        <v/>
      </c>
      <c r="V40" s="4" t="str">
        <f t="shared" si="3"/>
        <v>よ</v>
      </c>
      <c r="W40" s="4" t="str">
        <f t="shared" si="3"/>
        <v/>
      </c>
      <c r="X40" s="4" t="str">
        <f t="shared" si="3"/>
        <v>はや</v>
      </c>
      <c r="Y40" s="4" t="str">
        <f t="shared" si="3"/>
        <v/>
      </c>
      <c r="Z40" s="4" t="str">
        <f t="shared" si="3"/>
        <v/>
      </c>
      <c r="AA40" s="4" t="str">
        <f t="shared" si="3"/>
        <v/>
      </c>
      <c r="AB40" s="4" t="str">
        <f t="shared" si="3"/>
        <v/>
      </c>
      <c r="AC40" s="4" t="str">
        <f t="shared" si="3"/>
        <v/>
      </c>
      <c r="AD40" s="4" t="str">
        <f t="shared" si="3"/>
        <v/>
      </c>
      <c r="AE40" s="4" t="str">
        <f t="shared" ref="AE40:AO40" si="4">IF(F8="","",F8)</f>
        <v>本</v>
      </c>
      <c r="AF40" s="4" t="str">
        <f t="shared" si="4"/>
        <v>を</v>
      </c>
      <c r="AG40" s="4" t="str">
        <f t="shared" si="4"/>
        <v>読</v>
      </c>
      <c r="AH40" s="4" t="str">
        <f t="shared" si="4"/>
        <v>む</v>
      </c>
      <c r="AI40" s="4" t="str">
        <f t="shared" si="4"/>
        <v>速</v>
      </c>
      <c r="AJ40" s="4" t="str">
        <f t="shared" si="4"/>
        <v>さ</v>
      </c>
      <c r="AK40" s="4" t="str">
        <f t="shared" si="4"/>
        <v/>
      </c>
      <c r="AL40" s="4" t="str">
        <f t="shared" si="4"/>
        <v/>
      </c>
      <c r="AM40" s="4" t="str">
        <f t="shared" si="4"/>
        <v/>
      </c>
      <c r="AN40" s="4" t="str">
        <f t="shared" si="4"/>
        <v/>
      </c>
      <c r="AO40" s="4" t="str">
        <f t="shared" si="4"/>
        <v/>
      </c>
    </row>
    <row r="41" spans="17:41" hidden="1" x14ac:dyDescent="0.15">
      <c r="Q41" s="4">
        <f t="shared" ca="1" si="2"/>
        <v>0.65763932830461846</v>
      </c>
      <c r="R41" s="4">
        <f ca="1">IF(印刷シート!$EB$2="する",RANK(Q41,$Q$39:$Q$48,0),3)</f>
        <v>3</v>
      </c>
      <c r="S41" s="17" t="str">
        <f>D2</f>
        <v>神</v>
      </c>
      <c r="T41" s="4" t="str">
        <f t="shared" ref="T41:AD41" si="5">IF(F11="","",F11)</f>
        <v>くるま</v>
      </c>
      <c r="U41" s="4" t="str">
        <f t="shared" si="5"/>
        <v/>
      </c>
      <c r="V41" s="4" t="str">
        <f t="shared" si="5"/>
        <v>そく</v>
      </c>
      <c r="W41" s="4" t="str">
        <f t="shared" si="5"/>
        <v>ど</v>
      </c>
      <c r="X41" s="4" t="str">
        <f t="shared" si="5"/>
        <v/>
      </c>
      <c r="Y41" s="4" t="str">
        <f t="shared" si="5"/>
        <v/>
      </c>
      <c r="Z41" s="4" t="str">
        <f t="shared" si="5"/>
        <v/>
      </c>
      <c r="AA41" s="4" t="str">
        <f t="shared" si="5"/>
        <v/>
      </c>
      <c r="AB41" s="4" t="str">
        <f t="shared" si="5"/>
        <v/>
      </c>
      <c r="AC41" s="4" t="str">
        <f t="shared" si="5"/>
        <v/>
      </c>
      <c r="AD41" s="4" t="str">
        <f t="shared" si="5"/>
        <v/>
      </c>
      <c r="AE41" s="4" t="str">
        <f t="shared" ref="AE41:AO41" si="6">IF(F10="","",F10)</f>
        <v>車</v>
      </c>
      <c r="AF41" s="4" t="str">
        <f t="shared" si="6"/>
        <v>の</v>
      </c>
      <c r="AG41" s="4" t="str">
        <f t="shared" si="6"/>
        <v>速</v>
      </c>
      <c r="AH41" s="4" t="str">
        <f t="shared" si="6"/>
        <v>度</v>
      </c>
      <c r="AI41" s="4" t="str">
        <f t="shared" si="6"/>
        <v>を</v>
      </c>
      <c r="AJ41" s="4" t="str">
        <f t="shared" si="6"/>
        <v>は</v>
      </c>
      <c r="AK41" s="4" t="str">
        <f t="shared" si="6"/>
        <v>か</v>
      </c>
      <c r="AL41" s="4" t="str">
        <f t="shared" si="6"/>
        <v>る</v>
      </c>
      <c r="AM41" s="4" t="str">
        <f t="shared" si="6"/>
        <v/>
      </c>
      <c r="AN41" s="4" t="str">
        <f t="shared" si="6"/>
        <v/>
      </c>
      <c r="AO41" s="4" t="str">
        <f t="shared" si="6"/>
        <v/>
      </c>
    </row>
    <row r="42" spans="17:41" hidden="1" x14ac:dyDescent="0.15">
      <c r="Q42" s="4">
        <f t="shared" ca="1" si="2"/>
        <v>4.5911041321234469E-2</v>
      </c>
      <c r="R42" s="4">
        <f ca="1">IF(印刷シート!$EB$2="する",RANK(Q42,$Q$39:$Q$48,0),4)</f>
        <v>10</v>
      </c>
      <c r="S42" s="17" t="str">
        <f>E2</f>
        <v>箱</v>
      </c>
      <c r="T42" s="4" t="str">
        <f t="shared" ref="T42:AD42" si="7">IF(F13="","",F13)</f>
        <v>みずうみ</v>
      </c>
      <c r="U42" s="4" t="str">
        <f t="shared" si="7"/>
        <v/>
      </c>
      <c r="V42" s="4" t="str">
        <f t="shared" si="7"/>
        <v>さかな</v>
      </c>
      <c r="W42" s="4" t="str">
        <f t="shared" si="7"/>
        <v/>
      </c>
      <c r="X42" s="4" t="str">
        <f t="shared" si="7"/>
        <v>はな</v>
      </c>
      <c r="Y42" s="4" t="str">
        <f t="shared" si="7"/>
        <v/>
      </c>
      <c r="Z42" s="4" t="str">
        <f t="shared" si="7"/>
        <v/>
      </c>
      <c r="AA42" s="4" t="str">
        <f t="shared" si="7"/>
        <v/>
      </c>
      <c r="AB42" s="4" t="str">
        <f t="shared" si="7"/>
        <v/>
      </c>
      <c r="AC42" s="4" t="str">
        <f t="shared" si="7"/>
        <v/>
      </c>
      <c r="AD42" s="4" t="str">
        <f t="shared" si="7"/>
        <v/>
      </c>
      <c r="AE42" s="4" t="str">
        <f t="shared" ref="AE42:AO42" si="8">IF(F12="","",F12)</f>
        <v>湖</v>
      </c>
      <c r="AF42" s="4" t="str">
        <f t="shared" si="8"/>
        <v>に</v>
      </c>
      <c r="AG42" s="4" t="str">
        <f t="shared" si="8"/>
        <v>魚</v>
      </c>
      <c r="AH42" s="4" t="str">
        <f t="shared" si="8"/>
        <v>を</v>
      </c>
      <c r="AI42" s="4" t="str">
        <f t="shared" si="8"/>
        <v>放</v>
      </c>
      <c r="AJ42" s="4" t="str">
        <f t="shared" si="8"/>
        <v>す</v>
      </c>
      <c r="AK42" s="4" t="str">
        <f t="shared" si="8"/>
        <v/>
      </c>
      <c r="AL42" s="4" t="str">
        <f t="shared" si="8"/>
        <v/>
      </c>
      <c r="AM42" s="4" t="str">
        <f t="shared" si="8"/>
        <v/>
      </c>
      <c r="AN42" s="4" t="str">
        <f t="shared" si="8"/>
        <v/>
      </c>
      <c r="AO42" s="4" t="str">
        <f t="shared" si="8"/>
        <v/>
      </c>
    </row>
    <row r="43" spans="17:41" hidden="1" x14ac:dyDescent="0.15">
      <c r="Q43" s="4">
        <f t="shared" ca="1" si="2"/>
        <v>0.64248378415008345</v>
      </c>
      <c r="R43" s="4">
        <f ca="1">IF(印刷シート!$EB$2="する",RANK(Q43,$Q$39:$Q$48,0),5)</f>
        <v>4</v>
      </c>
      <c r="S43" s="17" t="str">
        <f>F2</f>
        <v>湯</v>
      </c>
      <c r="T43" s="4" t="str">
        <f t="shared" ref="T43:AD43" si="9">IF(F15="","",F15)</f>
        <v/>
      </c>
      <c r="U43" s="4" t="str">
        <f t="shared" si="9"/>
        <v/>
      </c>
      <c r="V43" s="4" t="str">
        <f t="shared" si="9"/>
        <v/>
      </c>
      <c r="W43" s="4" t="str">
        <f t="shared" si="9"/>
        <v/>
      </c>
      <c r="X43" s="4" t="str">
        <f t="shared" si="9"/>
        <v>しん</v>
      </c>
      <c r="Y43" s="4" t="str">
        <f t="shared" si="9"/>
        <v>わ</v>
      </c>
      <c r="Z43" s="4" t="str">
        <f t="shared" si="9"/>
        <v/>
      </c>
      <c r="AA43" s="4" t="str">
        <f t="shared" si="9"/>
        <v/>
      </c>
      <c r="AB43" s="4" t="str">
        <f t="shared" si="9"/>
        <v/>
      </c>
      <c r="AC43" s="4" t="str">
        <f t="shared" si="9"/>
        <v/>
      </c>
      <c r="AD43" s="4" t="str">
        <f t="shared" si="9"/>
        <v/>
      </c>
      <c r="AE43" s="4" t="str">
        <f t="shared" ref="AE43:AO43" si="10">IF(F14="","",F14)</f>
        <v>ギ</v>
      </c>
      <c r="AF43" s="4" t="str">
        <f t="shared" si="10"/>
        <v>リ</v>
      </c>
      <c r="AG43" s="4" t="str">
        <f t="shared" si="10"/>
        <v>シ</v>
      </c>
      <c r="AH43" s="4" t="str">
        <f t="shared" si="10"/>
        <v>ャ</v>
      </c>
      <c r="AI43" s="4" t="str">
        <f t="shared" si="10"/>
        <v>神</v>
      </c>
      <c r="AJ43" s="4" t="str">
        <f t="shared" si="10"/>
        <v>話</v>
      </c>
      <c r="AK43" s="4" t="str">
        <f t="shared" si="10"/>
        <v/>
      </c>
      <c r="AL43" s="4" t="str">
        <f t="shared" si="10"/>
        <v/>
      </c>
      <c r="AM43" s="4" t="str">
        <f t="shared" si="10"/>
        <v/>
      </c>
      <c r="AN43" s="4" t="str">
        <f t="shared" si="10"/>
        <v/>
      </c>
      <c r="AO43" s="4" t="str">
        <f t="shared" si="10"/>
        <v/>
      </c>
    </row>
    <row r="44" spans="17:41" hidden="1" x14ac:dyDescent="0.15">
      <c r="Q44" s="4">
        <f t="shared" ca="1" si="2"/>
        <v>0.39331812501389229</v>
      </c>
      <c r="R44" s="4">
        <f ca="1">IF(印刷シート!$EB$2="する",RANK(Q44,$Q$39:$Q$48,0),6)</f>
        <v>7</v>
      </c>
      <c r="S44" s="17" t="str">
        <f>G2</f>
        <v>場</v>
      </c>
      <c r="T44" s="4" t="str">
        <f t="shared" ref="T44:AD44" si="11">IF(F17="","",F17)</f>
        <v>ほう</v>
      </c>
      <c r="U44" s="4" t="str">
        <f t="shared" si="11"/>
        <v/>
      </c>
      <c r="V44" s="4" t="str">
        <f t="shared" si="11"/>
        <v>ご</v>
      </c>
      <c r="W44" s="4" t="str">
        <f t="shared" si="11"/>
        <v/>
      </c>
      <c r="X44" s="4" t="str">
        <f t="shared" si="11"/>
        <v>とも</v>
      </c>
      <c r="Y44" s="4" t="str">
        <f t="shared" si="11"/>
        <v/>
      </c>
      <c r="Z44" s="4" t="str">
        <f t="shared" si="11"/>
        <v/>
      </c>
      <c r="AA44" s="4" t="str">
        <f t="shared" si="11"/>
        <v/>
      </c>
      <c r="AB44" s="4" t="str">
        <f t="shared" si="11"/>
        <v>あそ</v>
      </c>
      <c r="AC44" s="4" t="str">
        <f t="shared" si="11"/>
        <v/>
      </c>
      <c r="AD44" s="4" t="str">
        <f t="shared" si="11"/>
        <v/>
      </c>
      <c r="AE44" s="4" t="str">
        <f t="shared" ref="AE44:AO44" si="12">IF(F16="","",F16)</f>
        <v>放</v>
      </c>
      <c r="AF44" s="4" t="str">
        <f t="shared" si="12"/>
        <v>か</v>
      </c>
      <c r="AG44" s="4" t="str">
        <f t="shared" si="12"/>
        <v>後</v>
      </c>
      <c r="AH44" s="4" t="str">
        <f t="shared" si="12"/>
        <v>に</v>
      </c>
      <c r="AI44" s="4" t="str">
        <f t="shared" si="12"/>
        <v>友</v>
      </c>
      <c r="AJ44" s="4" t="str">
        <f t="shared" si="12"/>
        <v>だ</v>
      </c>
      <c r="AK44" s="4" t="str">
        <f t="shared" si="12"/>
        <v>ち</v>
      </c>
      <c r="AL44" s="4" t="str">
        <f t="shared" si="12"/>
        <v>と</v>
      </c>
      <c r="AM44" s="4" t="str">
        <f t="shared" si="12"/>
        <v>遊</v>
      </c>
      <c r="AN44" s="4" t="str">
        <f t="shared" si="12"/>
        <v>ぶ</v>
      </c>
      <c r="AO44" s="4" t="str">
        <f t="shared" si="12"/>
        <v/>
      </c>
    </row>
    <row r="45" spans="17:41" hidden="1" x14ac:dyDescent="0.15">
      <c r="Q45" s="4">
        <f t="shared" ca="1" si="2"/>
        <v>0.40993077514553122</v>
      </c>
      <c r="R45" s="4">
        <f ca="1">IF(印刷シート!$EB$2="する",RANK(Q45,$Q$39:$Q$48,0),7)</f>
        <v>6</v>
      </c>
      <c r="S45" s="17" t="str">
        <f>H2</f>
        <v>薬</v>
      </c>
      <c r="T45" s="4" t="str">
        <f t="shared" ref="T45:AD45" si="13">IF(F19="","",F19)</f>
        <v>い</v>
      </c>
      <c r="U45" s="4" t="str">
        <f t="shared" si="13"/>
        <v>しゃ</v>
      </c>
      <c r="V45" s="4" t="str">
        <f t="shared" si="13"/>
        <v/>
      </c>
      <c r="W45" s="4" t="str">
        <f t="shared" si="13"/>
        <v>くすり</v>
      </c>
      <c r="X45" s="4" t="str">
        <f t="shared" si="13"/>
        <v>ばこ</v>
      </c>
      <c r="Y45" s="4" t="str">
        <f t="shared" si="13"/>
        <v/>
      </c>
      <c r="Z45" s="4" t="str">
        <f t="shared" si="13"/>
        <v>も</v>
      </c>
      <c r="AA45" s="4" t="str">
        <f t="shared" si="13"/>
        <v/>
      </c>
      <c r="AB45" s="4" t="str">
        <f t="shared" si="13"/>
        <v/>
      </c>
      <c r="AC45" s="4" t="str">
        <f t="shared" si="13"/>
        <v/>
      </c>
      <c r="AD45" s="4" t="str">
        <f t="shared" si="13"/>
        <v/>
      </c>
      <c r="AE45" s="4" t="str">
        <f t="shared" ref="AE45:AO45" si="14">IF(F18="","",F18)</f>
        <v>医</v>
      </c>
      <c r="AF45" s="4" t="str">
        <f t="shared" si="14"/>
        <v>者</v>
      </c>
      <c r="AG45" s="4" t="str">
        <f t="shared" si="14"/>
        <v>が</v>
      </c>
      <c r="AH45" s="4" t="str">
        <f t="shared" si="14"/>
        <v>薬</v>
      </c>
      <c r="AI45" s="4" t="str">
        <f t="shared" si="14"/>
        <v>箱</v>
      </c>
      <c r="AJ45" s="4" t="str">
        <f t="shared" si="14"/>
        <v>を</v>
      </c>
      <c r="AK45" s="4" t="str">
        <f t="shared" si="14"/>
        <v>持</v>
      </c>
      <c r="AL45" s="4" t="str">
        <f t="shared" si="14"/>
        <v>っ</v>
      </c>
      <c r="AM45" s="4" t="str">
        <f t="shared" si="14"/>
        <v>て</v>
      </c>
      <c r="AN45" s="4" t="str">
        <f t="shared" si="14"/>
        <v>く</v>
      </c>
      <c r="AO45" s="4" t="str">
        <f t="shared" si="14"/>
        <v>る</v>
      </c>
    </row>
    <row r="46" spans="17:41" hidden="1" x14ac:dyDescent="0.15">
      <c r="Q46" s="4">
        <f t="shared" ca="1" si="2"/>
        <v>0.74735661914537577</v>
      </c>
      <c r="R46" s="4">
        <f ca="1">IF(印刷シート!$EB$2="する",RANK(Q46,$Q$39:$Q$48,0),8)</f>
        <v>2</v>
      </c>
      <c r="S46" s="17" t="str">
        <f>I2</f>
        <v>送</v>
      </c>
      <c r="T46" s="4" t="str">
        <f t="shared" ref="T46:AD46" si="15">IF(F21="","",F21)</f>
        <v/>
      </c>
      <c r="U46" s="4" t="str">
        <f t="shared" si="15"/>
        <v/>
      </c>
      <c r="V46" s="4" t="str">
        <f t="shared" si="15"/>
        <v>とう</v>
      </c>
      <c r="W46" s="4" t="str">
        <f t="shared" si="15"/>
        <v/>
      </c>
      <c r="X46" s="4" t="str">
        <f t="shared" si="15"/>
        <v/>
      </c>
      <c r="Y46" s="4" t="str">
        <f t="shared" si="15"/>
        <v/>
      </c>
      <c r="Z46" s="4" t="str">
        <f t="shared" si="15"/>
        <v/>
      </c>
      <c r="AA46" s="4" t="str">
        <f t="shared" si="15"/>
        <v>ば</v>
      </c>
      <c r="AB46" s="4" t="str">
        <f t="shared" si="15"/>
        <v/>
      </c>
      <c r="AC46" s="4" t="str">
        <f t="shared" si="15"/>
        <v/>
      </c>
      <c r="AD46" s="4" t="str">
        <f t="shared" si="15"/>
        <v/>
      </c>
      <c r="AE46" s="4" t="str">
        <f t="shared" ref="AE46:AO46" si="16">IF(F20="","",F20)</f>
        <v>せ</v>
      </c>
      <c r="AF46" s="4" t="str">
        <f t="shared" si="16"/>
        <v>ん</v>
      </c>
      <c r="AG46" s="4" t="str">
        <f t="shared" si="16"/>
        <v>湯</v>
      </c>
      <c r="AH46" s="4" t="str">
        <f t="shared" si="16"/>
        <v>の</v>
      </c>
      <c r="AI46" s="4" t="str">
        <f t="shared" si="16"/>
        <v>あ</v>
      </c>
      <c r="AJ46" s="4" t="str">
        <f t="shared" si="16"/>
        <v>ら</v>
      </c>
      <c r="AK46" s="4" t="str">
        <f t="shared" si="16"/>
        <v>い</v>
      </c>
      <c r="AL46" s="4" t="str">
        <f t="shared" si="16"/>
        <v>場</v>
      </c>
      <c r="AM46" s="4" t="str">
        <f t="shared" si="16"/>
        <v/>
      </c>
      <c r="AN46" s="4" t="str">
        <f t="shared" si="16"/>
        <v/>
      </c>
      <c r="AO46" s="4" t="str">
        <f t="shared" si="16"/>
        <v/>
      </c>
    </row>
    <row r="47" spans="17:41" hidden="1" x14ac:dyDescent="0.15">
      <c r="Q47" s="4">
        <f t="shared" ca="1" si="2"/>
        <v>6.1427784060647306E-2</v>
      </c>
      <c r="R47" s="4">
        <f ca="1">IF(印刷シート!$EB$2="する",RANK(Q47,$Q$39:$Q$48,0),9)</f>
        <v>9</v>
      </c>
      <c r="S47" s="17" t="str">
        <f>J2</f>
        <v>様</v>
      </c>
      <c r="T47" s="4" t="str">
        <f t="shared" ref="T47:AD47" si="17">IF(F23="","",F23)</f>
        <v/>
      </c>
      <c r="U47" s="4" t="str">
        <f t="shared" si="17"/>
        <v/>
      </c>
      <c r="V47" s="4" t="str">
        <f t="shared" si="17"/>
        <v/>
      </c>
      <c r="W47" s="4" t="str">
        <f t="shared" si="17"/>
        <v/>
      </c>
      <c r="X47" s="4" t="str">
        <f t="shared" si="17"/>
        <v/>
      </c>
      <c r="Y47" s="4" t="str">
        <f t="shared" si="17"/>
        <v/>
      </c>
      <c r="Z47" s="4" t="str">
        <f t="shared" si="17"/>
        <v>とう</v>
      </c>
      <c r="AA47" s="4" t="str">
        <f t="shared" si="17"/>
        <v/>
      </c>
      <c r="AB47" s="4" t="str">
        <f t="shared" si="17"/>
        <v>そそ</v>
      </c>
      <c r="AC47" s="4" t="str">
        <f t="shared" si="17"/>
        <v/>
      </c>
      <c r="AD47" s="4" t="str">
        <f t="shared" si="17"/>
        <v/>
      </c>
      <c r="AE47" s="4" t="str">
        <f t="shared" ref="AE47:AO47" si="18">IF(F22="","",F22)</f>
        <v>カ</v>
      </c>
      <c r="AF47" s="4" t="str">
        <f t="shared" si="18"/>
        <v>ッ</v>
      </c>
      <c r="AG47" s="4" t="str">
        <f t="shared" si="18"/>
        <v>プ</v>
      </c>
      <c r="AH47" s="4" t="str">
        <f t="shared" si="18"/>
        <v>に</v>
      </c>
      <c r="AI47" s="4" t="str">
        <f t="shared" si="18"/>
        <v>ね</v>
      </c>
      <c r="AJ47" s="4" t="str">
        <f t="shared" si="18"/>
        <v>っ</v>
      </c>
      <c r="AK47" s="4" t="str">
        <f t="shared" si="18"/>
        <v>湯</v>
      </c>
      <c r="AL47" s="4" t="str">
        <f t="shared" si="18"/>
        <v>を</v>
      </c>
      <c r="AM47" s="4" t="str">
        <f t="shared" si="18"/>
        <v>注</v>
      </c>
      <c r="AN47" s="4" t="str">
        <f t="shared" si="18"/>
        <v>ぐ</v>
      </c>
      <c r="AO47" s="4" t="str">
        <f t="shared" si="18"/>
        <v/>
      </c>
    </row>
    <row r="48" spans="17:41" hidden="1" x14ac:dyDescent="0.15">
      <c r="Q48" s="4">
        <f t="shared" ca="1" si="2"/>
        <v>0.79942264346837355</v>
      </c>
      <c r="R48" s="4">
        <f ca="1">IF(印刷シート!$EB$2="する",RANK(Q48,$Q$39:$Q$48,0),10)</f>
        <v>1</v>
      </c>
      <c r="S48" s="17" t="str">
        <f>K2</f>
        <v>話</v>
      </c>
      <c r="T48" s="4" t="str">
        <f t="shared" ref="T48:AD48" si="19">IF(F25="","",F25)</f>
        <v>やま</v>
      </c>
      <c r="U48" s="4" t="str">
        <f t="shared" si="19"/>
        <v/>
      </c>
      <c r="V48" s="4" t="str">
        <f t="shared" si="19"/>
        <v>かみ</v>
      </c>
      <c r="W48" s="4" t="str">
        <f t="shared" si="19"/>
        <v>さま</v>
      </c>
      <c r="X48" s="4" t="str">
        <f t="shared" si="19"/>
        <v/>
      </c>
      <c r="Y48" s="4" t="str">
        <f t="shared" si="19"/>
        <v>まつ</v>
      </c>
      <c r="Z48" s="4" t="str">
        <f t="shared" si="19"/>
        <v/>
      </c>
      <c r="AA48" s="4" t="str">
        <f t="shared" si="19"/>
        <v/>
      </c>
      <c r="AB48" s="4" t="str">
        <f t="shared" si="19"/>
        <v>じん</v>
      </c>
      <c r="AC48" s="4" t="str">
        <f t="shared" si="19"/>
        <v>じゃ</v>
      </c>
      <c r="AD48" s="4" t="str">
        <f t="shared" si="19"/>
        <v/>
      </c>
      <c r="AE48" s="4" t="str">
        <f t="shared" ref="AE48:AO48" si="20">IF(F24="","",F24)</f>
        <v>山</v>
      </c>
      <c r="AF48" s="4" t="str">
        <f t="shared" si="20"/>
        <v>の</v>
      </c>
      <c r="AG48" s="4" t="str">
        <f t="shared" si="20"/>
        <v>神</v>
      </c>
      <c r="AH48" s="4" t="str">
        <f t="shared" si="20"/>
        <v>様</v>
      </c>
      <c r="AI48" s="4" t="str">
        <f t="shared" si="20"/>
        <v>を</v>
      </c>
      <c r="AJ48" s="4" t="str">
        <f t="shared" si="20"/>
        <v>祭</v>
      </c>
      <c r="AK48" s="4" t="str">
        <f t="shared" si="20"/>
        <v>っ</v>
      </c>
      <c r="AL48" s="4" t="str">
        <f t="shared" si="20"/>
        <v>た</v>
      </c>
      <c r="AM48" s="4" t="str">
        <f t="shared" si="20"/>
        <v>神</v>
      </c>
      <c r="AN48" s="4" t="str">
        <f t="shared" si="20"/>
        <v>社</v>
      </c>
      <c r="AO48" s="4" t="str">
        <f t="shared" si="20"/>
        <v/>
      </c>
    </row>
    <row r="49" hidden="1" x14ac:dyDescent="0.15"/>
    <row r="50" hidden="1" x14ac:dyDescent="0.15"/>
    <row r="51" hidden="1" x14ac:dyDescent="0.15"/>
  </sheetData>
  <sheetProtection sheet="1" objects="1" scenarios="1" selectLockedCells="1"/>
  <mergeCells count="45">
    <mergeCell ref="A22:A23"/>
    <mergeCell ref="J2:J3"/>
    <mergeCell ref="E22:E23"/>
    <mergeCell ref="A24:A25"/>
    <mergeCell ref="K2:K3"/>
    <mergeCell ref="E24:E25"/>
    <mergeCell ref="B22:D23"/>
    <mergeCell ref="B24:D25"/>
    <mergeCell ref="A18:A19"/>
    <mergeCell ref="H2:H3"/>
    <mergeCell ref="E18:E19"/>
    <mergeCell ref="A20:A21"/>
    <mergeCell ref="I2:I3"/>
    <mergeCell ref="E20:E21"/>
    <mergeCell ref="B18:D19"/>
    <mergeCell ref="B20:D21"/>
    <mergeCell ref="A14:A15"/>
    <mergeCell ref="F2:F3"/>
    <mergeCell ref="E14:E15"/>
    <mergeCell ref="A16:A17"/>
    <mergeCell ref="G2:G3"/>
    <mergeCell ref="E16:E17"/>
    <mergeCell ref="B14:D15"/>
    <mergeCell ref="B16:D17"/>
    <mergeCell ref="A10:A11"/>
    <mergeCell ref="D2:D3"/>
    <mergeCell ref="E10:E11"/>
    <mergeCell ref="A12:A13"/>
    <mergeCell ref="E2:E3"/>
    <mergeCell ref="E12:E13"/>
    <mergeCell ref="B10:D11"/>
    <mergeCell ref="B12:D13"/>
    <mergeCell ref="A6:A7"/>
    <mergeCell ref="B2:B3"/>
    <mergeCell ref="E6:E7"/>
    <mergeCell ref="A8:A9"/>
    <mergeCell ref="C2:C3"/>
    <mergeCell ref="E8:E9"/>
    <mergeCell ref="B6:D7"/>
    <mergeCell ref="B8:D9"/>
    <mergeCell ref="L2:L3"/>
    <mergeCell ref="M2:M3"/>
    <mergeCell ref="N2:N3"/>
    <mergeCell ref="O2:O3"/>
    <mergeCell ref="P2:P3"/>
  </mergeCells>
  <phoneticPr fontId="1"/>
  <pageMargins left="0.7" right="0.7" top="0.75" bottom="0.75" header="0.3" footer="0.3"/>
  <pageSetup paperSize="9" orientation="portrait" horizontalDpi="4294967293"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
  <sheetViews>
    <sheetView showGridLines="0" showRowColHeaders="0" workbookViewId="0">
      <selection activeCell="J2" sqref="J2"/>
    </sheetView>
  </sheetViews>
  <sheetFormatPr defaultRowHeight="13.5" x14ac:dyDescent="0.15"/>
  <cols>
    <col min="3" max="8" width="1.75" customWidth="1"/>
    <col min="13" max="76" width="4.625" customWidth="1"/>
  </cols>
  <sheetData>
    <row r="1" spans="1:8" ht="63" customHeight="1" x14ac:dyDescent="0.15">
      <c r="A1" t="s">
        <v>12</v>
      </c>
      <c r="B1" t="s">
        <v>13</v>
      </c>
      <c r="C1" s="76"/>
      <c r="D1" s="77"/>
      <c r="E1" s="77"/>
      <c r="F1" s="77"/>
      <c r="G1" s="77"/>
      <c r="H1" s="78"/>
    </row>
    <row r="2" spans="1:8" ht="63" customHeight="1" x14ac:dyDescent="0.15">
      <c r="A2" t="s">
        <v>14</v>
      </c>
      <c r="B2" t="s">
        <v>15</v>
      </c>
      <c r="C2" s="76"/>
      <c r="D2" s="77"/>
      <c r="E2" s="77"/>
      <c r="F2" s="77"/>
      <c r="G2" s="77"/>
      <c r="H2" s="78"/>
    </row>
    <row r="3" spans="1:8" ht="63" customHeight="1" x14ac:dyDescent="0.15">
      <c r="A3" t="s">
        <v>16</v>
      </c>
      <c r="B3" t="s">
        <v>17</v>
      </c>
      <c r="C3" s="76"/>
      <c r="D3" s="77"/>
      <c r="E3" s="77"/>
      <c r="F3" s="77"/>
      <c r="G3" s="77"/>
      <c r="H3" s="78"/>
    </row>
    <row r="4" spans="1:8" ht="63" customHeight="1" x14ac:dyDescent="0.15">
      <c r="A4" t="s">
        <v>18</v>
      </c>
      <c r="B4" t="s">
        <v>19</v>
      </c>
      <c r="C4" s="76"/>
      <c r="D4" s="77"/>
      <c r="E4" s="77"/>
      <c r="F4" s="77"/>
      <c r="G4" s="77"/>
      <c r="H4" s="78"/>
    </row>
    <row r="5" spans="1:8" ht="63" customHeight="1" x14ac:dyDescent="0.15">
      <c r="A5" t="s">
        <v>20</v>
      </c>
      <c r="B5" t="s">
        <v>21</v>
      </c>
      <c r="C5" s="76"/>
      <c r="D5" s="77"/>
      <c r="E5" s="77"/>
      <c r="F5" s="77"/>
      <c r="G5" s="77"/>
      <c r="H5" s="78"/>
    </row>
    <row r="6" spans="1:8" ht="63" customHeight="1" x14ac:dyDescent="0.15">
      <c r="A6" t="s">
        <v>22</v>
      </c>
      <c r="B6" t="s">
        <v>23</v>
      </c>
      <c r="C6" s="76"/>
      <c r="D6" s="77"/>
      <c r="E6" s="77"/>
      <c r="F6" s="77"/>
      <c r="G6" s="77"/>
      <c r="H6" s="78"/>
    </row>
    <row r="7" spans="1:8" ht="63" customHeight="1" x14ac:dyDescent="0.15">
      <c r="A7" t="s">
        <v>24</v>
      </c>
      <c r="B7" t="s">
        <v>25</v>
      </c>
      <c r="C7" s="76"/>
      <c r="D7" s="77"/>
      <c r="E7" s="77"/>
      <c r="F7" s="77"/>
      <c r="G7" s="77"/>
      <c r="H7" s="78"/>
    </row>
    <row r="8" spans="1:8" ht="63" customHeight="1" x14ac:dyDescent="0.15"/>
    <row r="9" spans="1:8" ht="63" customHeight="1" x14ac:dyDescent="0.15"/>
    <row r="10" spans="1:8" ht="63" customHeight="1" x14ac:dyDescent="0.15"/>
    <row r="11" spans="1:8" ht="29.25" customHeight="1" x14ac:dyDescent="0.15"/>
  </sheetData>
  <mergeCells count="7">
    <mergeCell ref="C1:H1"/>
    <mergeCell ref="C5:H5"/>
    <mergeCell ref="C6:H6"/>
    <mergeCell ref="C7:H7"/>
    <mergeCell ref="C2:H2"/>
    <mergeCell ref="C3:H3"/>
    <mergeCell ref="C4:H4"/>
  </mergeCells>
  <phoneticPr fontId="1"/>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10</vt:i4>
      </vt:variant>
    </vt:vector>
  </HeadingPairs>
  <TitlesOfParts>
    <vt:vector size="13" baseType="lpstr">
      <vt:lpstr>印刷シート</vt:lpstr>
      <vt:lpstr>問題文入力シート</vt:lpstr>
      <vt:lpstr>マスク</vt:lpstr>
      <vt:lpstr>big</vt:lpstr>
      <vt:lpstr>bigun</vt:lpstr>
      <vt:lpstr>full</vt:lpstr>
      <vt:lpstr>fullun</vt:lpstr>
      <vt:lpstr>list</vt:lpstr>
      <vt:lpstr>mask</vt:lpstr>
      <vt:lpstr>no</vt:lpstr>
      <vt:lpstr>印刷シート!Print_Area</vt:lpstr>
      <vt:lpstr>small</vt:lpstr>
      <vt:lpstr>smallun</vt:lpstr>
    </vt:vector>
  </TitlesOfParts>
  <Company>MouseComputer PC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nakao</dc:creator>
  <cp:lastModifiedBy>なかお</cp:lastModifiedBy>
  <cp:lastPrinted>2023-08-05T21:37:33Z</cp:lastPrinted>
  <dcterms:created xsi:type="dcterms:W3CDTF">2011-08-04T02:55:31Z</dcterms:created>
  <dcterms:modified xsi:type="dcterms:W3CDTF">2023-08-11T23:59:51Z</dcterms:modified>
</cp:coreProperties>
</file>