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docs.live.net/a37cd1931057d558/HP/読み・書き教材倉庫/souko/05kanji/mitumurawork2024/3rd-grade/"/>
    </mc:Choice>
  </mc:AlternateContent>
  <xr:revisionPtr revIDLastSave="10" documentId="8_{FA180842-5676-4713-B683-9FBE8BC03F4A}" xr6:coauthVersionLast="47" xr6:coauthVersionMax="47" xr10:uidLastSave="{3E454ABF-D43C-4F93-BACA-15D5D01C3289}"/>
  <workbookProtection workbookAlgorithmName="SHA-512" workbookHashValue="dUQoTFaJGv0Bsj/ipRoXH8q9yU3sHGyTt/JFAg2/Gtn7FrTmyHVdXrUS8bheGvQPupaemI8KS2cLMlWPGtdglw==" workbookSaltValue="2bgNPIJJE2ag8mkiupp4gg==" workbookSpinCount="100000" lockStructure="1"/>
  <bookViews>
    <workbookView xWindow="4665" yWindow="0" windowWidth="21990" windowHeight="14700"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<sst xmlns="http://schemas.openxmlformats.org/spreadsheetml/2006/main" count="91" uniqueCount="87">
  <si>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</si>
  <si>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</si>
  <si>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</si>
  <si>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</si>
  <si>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</si>
  <si>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</si>
  <si>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</si>
  <si>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</si>
  <si>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</si>
  <si>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</si>
  <si>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</si>
  <si>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</si>
  <si>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</si>
  <si>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</si>
  <si>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</si>
  <si>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</si>
  <si>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</si>
  <si>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</si>
  <si>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</si>
  <si>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</si>
  <si>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</si>
  <si>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</si>
  <si>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</si>
  <si>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</si>
  <si>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</si>
  <si>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</si>
  <si>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</si>
  <si>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</si>
  <si>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3-1-1</t>
    <phoneticPr fontId="1"/>
  </si>
  <si>
    <t>帳</t>
    <rPh sb="0" eb="1">
      <t>チョウ</t>
    </rPh>
    <phoneticPr fontId="17"/>
  </si>
  <si>
    <t>代</t>
    <rPh sb="0" eb="1">
      <t>ダイ</t>
    </rPh>
    <phoneticPr fontId="17"/>
  </si>
  <si>
    <t>曲</t>
    <rPh sb="0" eb="1">
      <t>マ</t>
    </rPh>
    <phoneticPr fontId="17"/>
  </si>
  <si>
    <t>投</t>
    <rPh sb="0" eb="1">
      <t>ナ</t>
    </rPh>
    <phoneticPr fontId="17"/>
  </si>
  <si>
    <t>炭</t>
    <rPh sb="0" eb="1">
      <t>スミ</t>
    </rPh>
    <phoneticPr fontId="17"/>
  </si>
  <si>
    <t>羊</t>
    <rPh sb="0" eb="1">
      <t>ヒツジ</t>
    </rPh>
    <phoneticPr fontId="17"/>
  </si>
  <si>
    <t>宿</t>
    <rPh sb="0" eb="1">
      <t>ヤド</t>
    </rPh>
    <phoneticPr fontId="17"/>
  </si>
  <si>
    <t>丁</t>
    <rPh sb="0" eb="1">
      <t>チョウ</t>
    </rPh>
    <phoneticPr fontId="17"/>
  </si>
  <si>
    <t>メモ帳に宿題を書く</t>
    <rPh sb="2" eb="3">
      <t>チョウ</t>
    </rPh>
    <rPh sb="4" eb="6">
      <t>シュクダイ</t>
    </rPh>
    <rPh sb="7" eb="8">
      <t>カ</t>
    </rPh>
    <phoneticPr fontId="1"/>
  </si>
  <si>
    <t>千代紙の代金をはらう</t>
    <rPh sb="0" eb="3">
      <t>チヨガミ</t>
    </rPh>
    <rPh sb="4" eb="6">
      <t>ダイキン</t>
    </rPh>
    <phoneticPr fontId="1"/>
  </si>
  <si>
    <t>投げたボールが曲がる</t>
    <rPh sb="0" eb="1">
      <t>ナ</t>
    </rPh>
    <rPh sb="7" eb="8">
      <t>マ</t>
    </rPh>
    <phoneticPr fontId="1"/>
  </si>
  <si>
    <t>作曲家が雨宿りをする</t>
    <rPh sb="0" eb="3">
      <t>サッキョクカ</t>
    </rPh>
    <rPh sb="4" eb="6">
      <t>アマヤド</t>
    </rPh>
    <phoneticPr fontId="1"/>
  </si>
  <si>
    <t>昼食でとうふ一丁食べる</t>
    <phoneticPr fontId="1"/>
  </si>
  <si>
    <t>羊の肉を炭火でやく</t>
    <phoneticPr fontId="1"/>
  </si>
  <si>
    <t>投手が交代する</t>
    <rPh sb="0" eb="2">
      <t>トウシュ</t>
    </rPh>
    <rPh sb="3" eb="5">
      <t>コウタイ</t>
    </rPh>
    <phoneticPr fontId="1"/>
  </si>
  <si>
    <t>石炭をもやす</t>
    <rPh sb="0" eb="2">
      <t>セキタン</t>
    </rPh>
    <phoneticPr fontId="1"/>
  </si>
  <si>
    <t>羊毛のセーター</t>
    <rPh sb="0" eb="2">
      <t>ヨウモウ</t>
    </rPh>
    <phoneticPr fontId="1"/>
  </si>
  <si>
    <t>母の代わりに行く</t>
    <rPh sb="0" eb="1">
      <t>ハハ</t>
    </rPh>
    <rPh sb="2" eb="3">
      <t>カ</t>
    </rPh>
    <rPh sb="6" eb="7">
      <t>イ</t>
    </rPh>
    <phoneticPr fontId="1"/>
  </si>
  <si>
    <t>ちょう</t>
    <phoneticPr fontId="1"/>
  </si>
  <si>
    <t>しゅく</t>
    <phoneticPr fontId="1"/>
  </si>
  <si>
    <t>だい</t>
    <phoneticPr fontId="1"/>
  </si>
  <si>
    <t>か</t>
    <phoneticPr fontId="1"/>
  </si>
  <si>
    <t>ち</t>
    <phoneticPr fontId="1"/>
  </si>
  <si>
    <t>よ</t>
    <phoneticPr fontId="1"/>
  </si>
  <si>
    <t>がみ</t>
    <phoneticPr fontId="1"/>
  </si>
  <si>
    <t>きん</t>
    <phoneticPr fontId="1"/>
  </si>
  <si>
    <t>な</t>
    <phoneticPr fontId="1"/>
  </si>
  <si>
    <t>ま</t>
    <phoneticPr fontId="1"/>
  </si>
  <si>
    <t>さっ</t>
    <phoneticPr fontId="1"/>
  </si>
  <si>
    <t>きょく</t>
    <phoneticPr fontId="1"/>
  </si>
  <si>
    <t>あま</t>
    <phoneticPr fontId="1"/>
  </si>
  <si>
    <t>やど</t>
    <phoneticPr fontId="1"/>
  </si>
  <si>
    <t>ちゅう</t>
    <phoneticPr fontId="1"/>
  </si>
  <si>
    <t>しょく</t>
    <phoneticPr fontId="1"/>
  </si>
  <si>
    <t>いっ</t>
    <phoneticPr fontId="1"/>
  </si>
  <si>
    <t>た</t>
    <phoneticPr fontId="1"/>
  </si>
  <si>
    <t>ひつじ</t>
    <phoneticPr fontId="1"/>
  </si>
  <si>
    <t>にく</t>
    <phoneticPr fontId="1"/>
  </si>
  <si>
    <t>すみ</t>
    <phoneticPr fontId="1"/>
  </si>
  <si>
    <t>び</t>
    <phoneticPr fontId="1"/>
  </si>
  <si>
    <t>とう</t>
    <phoneticPr fontId="1"/>
  </si>
  <si>
    <t>しゅ</t>
    <phoneticPr fontId="1"/>
  </si>
  <si>
    <t>こう</t>
    <phoneticPr fontId="1"/>
  </si>
  <si>
    <t>たい</t>
    <phoneticPr fontId="1"/>
  </si>
  <si>
    <t>せき</t>
    <phoneticPr fontId="1"/>
  </si>
  <si>
    <t>たん</t>
    <phoneticPr fontId="1"/>
  </si>
  <si>
    <t>よう</t>
    <phoneticPr fontId="1"/>
  </si>
  <si>
    <t>もう</t>
    <phoneticPr fontId="1"/>
  </si>
  <si>
    <t>はは</t>
    <phoneticPr fontId="1"/>
  </si>
  <si>
    <t>い</t>
    <phoneticPr fontId="1"/>
  </si>
  <si>
    <t>昼</t>
    <rPh sb="0" eb="1">
      <t>ヒル</t>
    </rPh>
    <phoneticPr fontId="1"/>
  </si>
  <si>
    <t>食</t>
    <rPh sb="0" eb="1">
      <t>ショク</t>
    </rPh>
    <phoneticPr fontId="1"/>
  </si>
  <si>
    <t>雨</t>
    <rPh sb="0" eb="1">
      <t>アメ</t>
    </rPh>
    <phoneticPr fontId="1"/>
  </si>
  <si>
    <t>交</t>
    <rPh sb="0" eb="1">
      <t>マジ</t>
    </rPh>
    <phoneticPr fontId="1"/>
  </si>
  <si>
    <t>作</t>
    <rPh sb="0" eb="1">
      <t>ツク</t>
    </rPh>
    <phoneticPr fontId="1"/>
  </si>
  <si>
    <t>題</t>
    <rPh sb="0" eb="1">
      <t>ダイ</t>
    </rPh>
    <phoneticPr fontId="1"/>
  </si>
  <si>
    <t>毛</t>
    <rPh sb="0" eb="1">
      <t>ケ</t>
    </rPh>
    <phoneticPr fontId="1"/>
  </si>
  <si>
    <t>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</si>
</sst>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5" fillId="0" borderId="0" xfId="0" applyFont="1" applyAlignment="1">
      <alignment horizontal="center" vertical="center"/>
    </xf>
    <xf numFmtId="0" fontId="5" fillId="0" borderId="0" xfId="0" applyFont="1">
      <alignment vertical="center"/>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3" fillId="0" borderId="0" xfId="0" applyFont="1">
      <alignment vertical="center"/>
    </xf>
    <xf numFmtId="0" fontId="8" fillId="0" borderId="25"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3" fillId="0" borderId="13" xfId="0" applyFont="1" applyBorder="1">
      <alignment vertical="center"/>
    </xf>
    <xf numFmtId="0" fontId="0" fillId="0" borderId="19" xfId="0" applyBorder="1">
      <alignment vertical="center"/>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3" fillId="3" borderId="3" xfId="1"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9023"/>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9024"/>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9025"/>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9026"/>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9027"/>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9028"/>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9029"/>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9030"/>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9031"/>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9032"/>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9033"/>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9034"/>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9035"/>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9036"/>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9037"/>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60" zoomScaleNormal="6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34" t="s">
        <v>6</v>
      </c>
      <c r="B1" s="35"/>
      <c r="C1" s="35"/>
      <c r="D1" s="35"/>
      <c r="E1" s="35"/>
      <c r="F1" s="35"/>
      <c r="G1" s="35"/>
      <c r="H1" s="35"/>
      <c r="I1" s="35"/>
      <c r="J1" s="35"/>
      <c r="K1" s="36"/>
      <c r="L1" s="36"/>
      <c r="M1" s="36"/>
      <c r="N1" s="49" t="s">
        <v>1</v>
      </c>
      <c r="O1" s="35"/>
      <c r="P1" s="35"/>
      <c r="Q1" s="35"/>
      <c r="R1" s="35"/>
      <c r="S1" s="35"/>
      <c r="T1" s="35"/>
      <c r="U1" s="35"/>
      <c r="V1" s="35"/>
      <c r="W1" s="35"/>
      <c r="X1" s="36"/>
      <c r="Y1" s="36"/>
      <c r="Z1" s="36"/>
      <c r="AA1" s="49" t="s">
        <v>9</v>
      </c>
      <c r="AB1" s="35"/>
      <c r="AC1" s="35"/>
      <c r="AD1" s="35"/>
      <c r="AE1" s="35"/>
      <c r="AF1" s="35"/>
      <c r="AG1" s="35"/>
      <c r="AH1" s="35"/>
      <c r="AI1" s="35"/>
      <c r="AJ1" s="35"/>
      <c r="AK1" s="36"/>
      <c r="AL1" s="36"/>
      <c r="AM1" s="36"/>
      <c r="AN1" s="49" t="s">
        <v>5</v>
      </c>
      <c r="AO1" s="35"/>
      <c r="AP1" s="35"/>
      <c r="AQ1" s="35"/>
      <c r="AR1" s="35"/>
      <c r="AS1" s="35"/>
      <c r="AT1" s="35"/>
      <c r="AU1" s="35"/>
      <c r="AV1" s="35"/>
      <c r="AW1" s="35"/>
      <c r="AX1" s="36"/>
      <c r="AY1" s="36"/>
      <c r="AZ1" s="53"/>
      <c r="EB1" s="49" t="s">
        <v>3</v>
      </c>
      <c r="EC1" s="35"/>
      <c r="ED1" s="35"/>
      <c r="EE1" s="35"/>
      <c r="EF1" s="35"/>
      <c r="EG1" s="35"/>
      <c r="EH1" s="35"/>
      <c r="EI1" s="35"/>
      <c r="EJ1" s="35"/>
      <c r="EK1" s="35"/>
      <c r="EL1" s="36"/>
      <c r="EM1" s="36"/>
      <c r="EN1" s="36"/>
      <c r="EO1" s="25" t="str">
        <f>VLOOKUP(A2,mask,2,FALSE)</f>
        <v>no</v>
      </c>
      <c r="EP1" s="26"/>
      <c r="EQ1" s="26"/>
      <c r="ER1" s="26"/>
      <c r="ES1" s="26"/>
      <c r="ET1" s="26"/>
      <c r="EU1" s="26"/>
      <c r="EV1" s="26"/>
      <c r="EW1" s="26"/>
    </row>
    <row r="2" spans="1:179" ht="47.25" thickBot="1" x14ac:dyDescent="0.2">
      <c r="A2" s="37" t="s">
        <v>86</v>
      </c>
      <c r="B2" s="38"/>
      <c r="C2" s="38"/>
      <c r="D2" s="38"/>
      <c r="E2" s="38"/>
      <c r="F2" s="38"/>
      <c r="G2" s="38"/>
      <c r="H2" s="38"/>
      <c r="I2" s="38"/>
      <c r="J2" s="38"/>
      <c r="K2" s="38"/>
      <c r="L2" s="38"/>
      <c r="M2" s="39"/>
      <c r="N2" s="54" t="s">
        <v>8</v>
      </c>
      <c r="O2" s="55"/>
      <c r="P2" s="55"/>
      <c r="Q2" s="55"/>
      <c r="R2" s="55"/>
      <c r="S2" s="55"/>
      <c r="T2" s="55"/>
      <c r="U2" s="55"/>
      <c r="V2" s="55"/>
      <c r="W2" s="56"/>
      <c r="X2" s="56"/>
      <c r="Y2" s="56"/>
      <c r="Z2" s="56"/>
      <c r="AA2" s="54" t="s">
        <v>26</v>
      </c>
      <c r="AB2" s="55"/>
      <c r="AC2" s="55"/>
      <c r="AD2" s="55"/>
      <c r="AE2" s="55"/>
      <c r="AF2" s="55"/>
      <c r="AG2" s="55"/>
      <c r="AH2" s="55"/>
      <c r="AI2" s="55"/>
      <c r="AJ2" s="56"/>
      <c r="AK2" s="56"/>
      <c r="AL2" s="56"/>
      <c r="AM2" s="56"/>
      <c r="AN2" s="54" t="s">
        <v>27</v>
      </c>
      <c r="AO2" s="55"/>
      <c r="AP2" s="55"/>
      <c r="AQ2" s="55"/>
      <c r="AR2" s="55"/>
      <c r="AS2" s="55"/>
      <c r="AT2" s="55"/>
      <c r="AU2" s="55"/>
      <c r="AV2" s="55"/>
      <c r="AW2" s="56"/>
      <c r="AX2" s="56"/>
      <c r="AY2" s="56"/>
      <c r="AZ2" s="57"/>
      <c r="EB2" s="50" t="s">
        <v>4</v>
      </c>
      <c r="EC2" s="51"/>
      <c r="ED2" s="51"/>
      <c r="EE2" s="51"/>
      <c r="EF2" s="51"/>
      <c r="EG2" s="51"/>
      <c r="EH2" s="51"/>
      <c r="EI2" s="51"/>
      <c r="EJ2" s="51"/>
      <c r="EK2" s="51"/>
      <c r="EL2" s="51"/>
      <c r="EM2" s="51"/>
      <c r="EN2" s="52"/>
    </row>
    <row r="3" spans="1:179" ht="23.25" customHeight="1" x14ac:dyDescent="0.15"/>
    <row r="4" spans="1:179" ht="63" customHeight="1" thickBot="1" x14ac:dyDescent="0.2">
      <c r="A4" s="27" t="str">
        <f>問題文入力シート!B2</f>
        <v>帳</v>
      </c>
      <c r="B4" s="28"/>
      <c r="C4" s="28"/>
      <c r="D4" s="28"/>
      <c r="E4" s="28"/>
      <c r="F4" s="28"/>
      <c r="G4" s="27" t="str">
        <f>問題文入力シート!C2</f>
        <v>代</v>
      </c>
      <c r="H4" s="28"/>
      <c r="I4" s="28"/>
      <c r="J4" s="28"/>
      <c r="K4" s="28"/>
      <c r="L4" s="28"/>
      <c r="M4" s="27" t="str">
        <f>問題文入力シート!D2</f>
        <v>曲</v>
      </c>
      <c r="N4" s="28"/>
      <c r="O4" s="28"/>
      <c r="P4" s="28"/>
      <c r="Q4" s="28"/>
      <c r="R4" s="28"/>
      <c r="S4" s="27" t="str">
        <f>問題文入力シート!E2</f>
        <v>投</v>
      </c>
      <c r="T4" s="28"/>
      <c r="U4" s="28"/>
      <c r="V4" s="28"/>
      <c r="W4" s="28"/>
      <c r="X4" s="28"/>
      <c r="Y4" s="27" t="str">
        <f>問題文入力シート!F2</f>
        <v>炭</v>
      </c>
      <c r="Z4" s="28"/>
      <c r="AA4" s="28"/>
      <c r="AB4" s="28"/>
      <c r="AC4" s="28"/>
      <c r="AD4" s="28"/>
      <c r="AE4" s="27" t="str">
        <f>問題文入力シート!G2</f>
        <v>羊</v>
      </c>
      <c r="AF4" s="28"/>
      <c r="AG4" s="28"/>
      <c r="AH4" s="28"/>
      <c r="AI4" s="28"/>
      <c r="AJ4" s="28"/>
      <c r="AK4" s="27" t="str">
        <f>問題文入力シート!H2</f>
        <v>宿</v>
      </c>
      <c r="AL4" s="28"/>
      <c r="AM4" s="28"/>
      <c r="AN4" s="28"/>
      <c r="AO4" s="28"/>
      <c r="AP4" s="28"/>
      <c r="AQ4" s="27" t="str">
        <f>問題文入力シート!I2</f>
        <v>丁</v>
      </c>
      <c r="AR4" s="28"/>
      <c r="AS4" s="28"/>
      <c r="AT4" s="28"/>
      <c r="AU4" s="28"/>
      <c r="AV4" s="28"/>
      <c r="AW4" s="27" t="str">
        <f>問題文入力シート!J2</f>
        <v>昼</v>
      </c>
      <c r="AX4" s="28"/>
      <c r="AY4" s="28"/>
      <c r="AZ4" s="28"/>
      <c r="BA4" s="28"/>
      <c r="BB4" s="28"/>
      <c r="BC4" s="27" t="str">
        <f>問題文入力シート!K2</f>
        <v>食</v>
      </c>
      <c r="BD4" s="28"/>
      <c r="BE4" s="28"/>
      <c r="BF4" s="28"/>
      <c r="BG4" s="28"/>
      <c r="BH4" s="28"/>
      <c r="BI4" s="27" t="str">
        <f>問題文入力シート!L2</f>
        <v>雨</v>
      </c>
      <c r="BJ4" s="28"/>
      <c r="BK4" s="28"/>
      <c r="BL4" s="28"/>
      <c r="BM4" s="28"/>
      <c r="BN4" s="28"/>
      <c r="BO4" s="27" t="str">
        <f>問題文入力シート!M2</f>
        <v>交</v>
      </c>
      <c r="BP4" s="28"/>
      <c r="BQ4" s="28"/>
      <c r="BR4" s="28"/>
      <c r="BS4" s="28"/>
      <c r="BT4" s="28"/>
      <c r="BU4" s="27" t="str">
        <f>問題文入力シート!N2</f>
        <v>作</v>
      </c>
      <c r="BV4" s="28"/>
      <c r="BW4" s="28"/>
      <c r="BX4" s="28"/>
      <c r="BY4" s="28"/>
      <c r="BZ4" s="28"/>
      <c r="CA4" s="27" t="str">
        <f>問題文入力シート!O2</f>
        <v>題</v>
      </c>
      <c r="CB4" s="28"/>
      <c r="CC4" s="28"/>
      <c r="CD4" s="28"/>
      <c r="CE4" s="28"/>
      <c r="CF4" s="28"/>
      <c r="CG4" s="27" t="str">
        <f>問題文入力シート!P2</f>
        <v>毛</v>
      </c>
      <c r="CH4" s="28"/>
      <c r="CI4" s="28"/>
      <c r="CJ4" s="28"/>
      <c r="CK4" s="28"/>
      <c r="CL4" s="29"/>
      <c r="CM4" s="30" t="s">
        <v>2</v>
      </c>
      <c r="CN4" s="31"/>
      <c r="CO4" s="31"/>
      <c r="CP4" s="32"/>
      <c r="EC4" s="3"/>
      <c r="EW4" s="3"/>
      <c r="FQ4" s="3"/>
    </row>
    <row r="5" spans="1:179" ht="52.5" customHeight="1" thickBot="1" x14ac:dyDescent="0.2">
      <c r="A5" s="21" t="str">
        <f ca="1">VLOOKUP(10,list,14,FALSE)</f>
        <v>羊</v>
      </c>
      <c r="B5" s="22"/>
      <c r="C5" s="22"/>
      <c r="D5" s="22"/>
      <c r="E5" s="23"/>
      <c r="F5" s="24" t="str">
        <f ca="1">IF($AA$2="入れる",VLOOKUP(10,list,3,FALSE),"")</f>
        <v>ひつじ</v>
      </c>
      <c r="G5" s="24"/>
      <c r="H5" s="24"/>
      <c r="I5" s="24"/>
      <c r="J5" s="21" t="str">
        <f ca="1">VLOOKUP(9,list,14,FALSE)</f>
        <v>投</v>
      </c>
      <c r="K5" s="22"/>
      <c r="L5" s="22"/>
      <c r="M5" s="22"/>
      <c r="N5" s="23"/>
      <c r="O5" s="24" t="str">
        <f ca="1">IF($AA$2="入れる",VLOOKUP(9,list,3,FALSE),"")</f>
        <v>な</v>
      </c>
      <c r="P5" s="24"/>
      <c r="Q5" s="24"/>
      <c r="R5" s="24"/>
      <c r="S5" s="21" t="str">
        <f ca="1">VLOOKUP(8,list,14,FALSE)</f>
        <v>石</v>
      </c>
      <c r="T5" s="22"/>
      <c r="U5" s="22"/>
      <c r="V5" s="22"/>
      <c r="W5" s="23"/>
      <c r="X5" s="24" t="str">
        <f ca="1">IF($AA$2="入れる",VLOOKUP(8,list,3,FALSE),"")</f>
        <v>せき</v>
      </c>
      <c r="Y5" s="24"/>
      <c r="Z5" s="24"/>
      <c r="AA5" s="24"/>
      <c r="AB5" s="21" t="str">
        <f ca="1">VLOOKUP(7,list,14,FALSE)</f>
        <v>作</v>
      </c>
      <c r="AC5" s="22"/>
      <c r="AD5" s="22"/>
      <c r="AE5" s="22"/>
      <c r="AF5" s="23"/>
      <c r="AG5" s="24" t="str">
        <f ca="1">IF($AA$2="入れる",VLOOKUP(7,list,3,FALSE),"")</f>
        <v>さっ</v>
      </c>
      <c r="AH5" s="24"/>
      <c r="AI5" s="24"/>
      <c r="AJ5" s="24"/>
      <c r="AK5" s="21" t="str">
        <f ca="1">VLOOKUP(6,list,14,FALSE)</f>
        <v>昼</v>
      </c>
      <c r="AL5" s="22"/>
      <c r="AM5" s="22"/>
      <c r="AN5" s="22"/>
      <c r="AO5" s="23"/>
      <c r="AP5" s="24" t="str">
        <f ca="1">IF($AA$2="入れる",VLOOKUP(6,list,3,FALSE),"")</f>
        <v>ちゅう</v>
      </c>
      <c r="AQ5" s="24"/>
      <c r="AR5" s="24"/>
      <c r="AS5" s="24"/>
      <c r="AT5" s="21" t="str">
        <f ca="1">VLOOKUP(5,list,14,FALSE)</f>
        <v>千</v>
      </c>
      <c r="AU5" s="22"/>
      <c r="AV5" s="22"/>
      <c r="AW5" s="22"/>
      <c r="AX5" s="23"/>
      <c r="AY5" s="24" t="str">
        <f ca="1">IF($AA$2="入れる",VLOOKUP(5,list,3,FALSE),"")</f>
        <v>ち</v>
      </c>
      <c r="AZ5" s="24"/>
      <c r="BA5" s="24"/>
      <c r="BB5" s="24"/>
      <c r="BC5" s="21" t="str">
        <f ca="1">VLOOKUP(4,list,14,FALSE)</f>
        <v>羊</v>
      </c>
      <c r="BD5" s="22"/>
      <c r="BE5" s="22"/>
      <c r="BF5" s="22"/>
      <c r="BG5" s="23"/>
      <c r="BH5" s="24" t="str">
        <f ca="1">IF($AA$2="入れる",VLOOKUP(4,list,3,FALSE),"")</f>
        <v>よう</v>
      </c>
      <c r="BI5" s="24"/>
      <c r="BJ5" s="24"/>
      <c r="BK5" s="24"/>
      <c r="BL5" s="21" t="str">
        <f ca="1">VLOOKUP(3,list,14,FALSE)</f>
        <v>メ</v>
      </c>
      <c r="BM5" s="22"/>
      <c r="BN5" s="22"/>
      <c r="BO5" s="22"/>
      <c r="BP5" s="23"/>
      <c r="BQ5" s="24" t="str">
        <f ca="1">IF($AA$2="入れる",VLOOKUP(3,list,3,FALSE),"")</f>
        <v/>
      </c>
      <c r="BR5" s="24"/>
      <c r="BS5" s="24"/>
      <c r="BT5" s="24"/>
      <c r="BU5" s="21" t="str">
        <f ca="1">VLOOKUP(2,list,14,FALSE)</f>
        <v>投</v>
      </c>
      <c r="BV5" s="22"/>
      <c r="BW5" s="22"/>
      <c r="BX5" s="22"/>
      <c r="BY5" s="23"/>
      <c r="BZ5" s="24" t="str">
        <f ca="1">IF($AA$2="入れる",VLOOKUP(2,list,3,FALSE),"")</f>
        <v>とう</v>
      </c>
      <c r="CA5" s="24"/>
      <c r="CB5" s="24"/>
      <c r="CC5" s="24"/>
      <c r="CD5" s="21" t="str">
        <f ca="1">VLOOKUP(1,list,14,FALSE)</f>
        <v>母</v>
      </c>
      <c r="CE5" s="22"/>
      <c r="CF5" s="22"/>
      <c r="CG5" s="22"/>
      <c r="CH5" s="23"/>
      <c r="CI5" s="24" t="str">
        <f ca="1">IF($AA$2="入れる",VLOOKUP(1,list,3,FALSE),"")</f>
        <v>はは</v>
      </c>
      <c r="CJ5" s="24"/>
      <c r="CK5" s="24"/>
      <c r="CL5" s="24"/>
      <c r="CM5" s="30"/>
      <c r="CN5" s="31"/>
      <c r="CO5" s="31"/>
      <c r="CP5" s="32"/>
      <c r="FP5" s="2"/>
      <c r="FQ5" s="2"/>
      <c r="FR5" s="2"/>
      <c r="FS5" s="2"/>
      <c r="FT5" s="2"/>
      <c r="FU5" s="2"/>
      <c r="FV5" s="2"/>
      <c r="FW5" s="2"/>
    </row>
    <row r="6" spans="1:179" ht="52.5" customHeight="1" thickBot="1" x14ac:dyDescent="0.2">
      <c r="A6" s="21" t="str">
        <f ca="1">VLOOKUP(10,list,15,FALSE)</f>
        <v>の</v>
      </c>
      <c r="B6" s="22"/>
      <c r="C6" s="22"/>
      <c r="D6" s="22"/>
      <c r="E6" s="23"/>
      <c r="F6" s="24" t="str">
        <f ca="1">IF($AA$2="入れる",VLOOKUP(10,list,4,FALSE),"")</f>
        <v/>
      </c>
      <c r="G6" s="24"/>
      <c r="H6" s="24"/>
      <c r="I6" s="24"/>
      <c r="J6" s="21" t="str">
        <f ca="1">VLOOKUP(9,list,15,FALSE)</f>
        <v>げ</v>
      </c>
      <c r="K6" s="22"/>
      <c r="L6" s="22"/>
      <c r="M6" s="22"/>
      <c r="N6" s="23"/>
      <c r="O6" s="24" t="str">
        <f ca="1">IF($AA$2="入れる",VLOOKUP(9,list,4,FALSE),"")</f>
        <v/>
      </c>
      <c r="P6" s="24"/>
      <c r="Q6" s="24"/>
      <c r="R6" s="24"/>
      <c r="S6" s="21" t="str">
        <f ca="1">VLOOKUP(8,list,15,FALSE)</f>
        <v>炭</v>
      </c>
      <c r="T6" s="22"/>
      <c r="U6" s="22"/>
      <c r="V6" s="22"/>
      <c r="W6" s="23"/>
      <c r="X6" s="24" t="str">
        <f ca="1">IF($AA$2="入れる",VLOOKUP(8,list,4,FALSE),"")</f>
        <v>たん</v>
      </c>
      <c r="Y6" s="24"/>
      <c r="Z6" s="24"/>
      <c r="AA6" s="24"/>
      <c r="AB6" s="21" t="str">
        <f ca="1">VLOOKUP(7,list,15,FALSE)</f>
        <v>曲</v>
      </c>
      <c r="AC6" s="22"/>
      <c r="AD6" s="22"/>
      <c r="AE6" s="22"/>
      <c r="AF6" s="23"/>
      <c r="AG6" s="24" t="str">
        <f ca="1">IF($AA$2="入れる",VLOOKUP(7,list,4,FALSE),"")</f>
        <v>きょく</v>
      </c>
      <c r="AH6" s="24"/>
      <c r="AI6" s="24"/>
      <c r="AJ6" s="24"/>
      <c r="AK6" s="21" t="str">
        <f ca="1">VLOOKUP(6,list,15,FALSE)</f>
        <v>食</v>
      </c>
      <c r="AL6" s="22"/>
      <c r="AM6" s="22"/>
      <c r="AN6" s="22"/>
      <c r="AO6" s="23"/>
      <c r="AP6" s="24" t="str">
        <f ca="1">IF($AA$2="入れる",VLOOKUP(6,list,4,FALSE),"")</f>
        <v>しょく</v>
      </c>
      <c r="AQ6" s="24"/>
      <c r="AR6" s="24"/>
      <c r="AS6" s="24"/>
      <c r="AT6" s="21" t="str">
        <f ca="1">VLOOKUP(5,list,15,FALSE)</f>
        <v>代</v>
      </c>
      <c r="AU6" s="22"/>
      <c r="AV6" s="22"/>
      <c r="AW6" s="22"/>
      <c r="AX6" s="23"/>
      <c r="AY6" s="24" t="str">
        <f ca="1">IF($AA$2="入れる",VLOOKUP(5,list,4,FALSE),"")</f>
        <v>よ</v>
      </c>
      <c r="AZ6" s="24"/>
      <c r="BA6" s="24"/>
      <c r="BB6" s="24"/>
      <c r="BC6" s="21" t="str">
        <f ca="1">VLOOKUP(4,list,15,FALSE)</f>
        <v>毛</v>
      </c>
      <c r="BD6" s="22"/>
      <c r="BE6" s="22"/>
      <c r="BF6" s="22"/>
      <c r="BG6" s="23"/>
      <c r="BH6" s="24" t="str">
        <f ca="1">IF($AA$2="入れる",VLOOKUP(4,list,4,FALSE),"")</f>
        <v>もう</v>
      </c>
      <c r="BI6" s="24"/>
      <c r="BJ6" s="24"/>
      <c r="BK6" s="24"/>
      <c r="BL6" s="21" t="str">
        <f ca="1">VLOOKUP(3,list,15,FALSE)</f>
        <v>モ</v>
      </c>
      <c r="BM6" s="22"/>
      <c r="BN6" s="22"/>
      <c r="BO6" s="22"/>
      <c r="BP6" s="23"/>
      <c r="BQ6" s="24" t="str">
        <f ca="1">IF($AA$2="入れる",VLOOKUP(3,list,4,FALSE),"")</f>
        <v/>
      </c>
      <c r="BR6" s="24"/>
      <c r="BS6" s="24"/>
      <c r="BT6" s="24"/>
      <c r="BU6" s="21" t="str">
        <f ca="1">VLOOKUP(2,list,15,FALSE)</f>
        <v>手</v>
      </c>
      <c r="BV6" s="22"/>
      <c r="BW6" s="22"/>
      <c r="BX6" s="22"/>
      <c r="BY6" s="23"/>
      <c r="BZ6" s="24" t="str">
        <f ca="1">IF($AA$2="入れる",VLOOKUP(2,list,4,FALSE),"")</f>
        <v>しゅ</v>
      </c>
      <c r="CA6" s="24"/>
      <c r="CB6" s="24"/>
      <c r="CC6" s="24"/>
      <c r="CD6" s="21" t="str">
        <f ca="1">VLOOKUP(1,list,15,FALSE)</f>
        <v>の</v>
      </c>
      <c r="CE6" s="22"/>
      <c r="CF6" s="22"/>
      <c r="CG6" s="22"/>
      <c r="CH6" s="23"/>
      <c r="CI6" s="24" t="str">
        <f ca="1">IF($AA$2="入れる",VLOOKUP(1,list,4,FALSE),"")</f>
        <v/>
      </c>
      <c r="CJ6" s="24"/>
      <c r="CK6" s="24"/>
      <c r="CL6" s="24"/>
      <c r="CM6" s="30"/>
      <c r="CN6" s="31"/>
      <c r="CO6" s="31"/>
      <c r="CP6" s="32"/>
      <c r="EU6" s="18"/>
      <c r="EV6" s="18"/>
      <c r="EW6" s="18"/>
      <c r="EX6" s="18"/>
      <c r="EZ6" s="18"/>
      <c r="FA6" s="18"/>
      <c r="FB6" s="18"/>
      <c r="FC6" s="18"/>
      <c r="FD6" s="18"/>
      <c r="FE6" s="18"/>
      <c r="FF6" s="18"/>
    </row>
    <row r="7" spans="1:179" ht="52.5" customHeight="1" thickBot="1" x14ac:dyDescent="0.2">
      <c r="A7" s="21" t="str">
        <f ca="1">VLOOKUP(10,list,16,FALSE)</f>
        <v>肉</v>
      </c>
      <c r="B7" s="22"/>
      <c r="C7" s="22"/>
      <c r="D7" s="22"/>
      <c r="E7" s="23"/>
      <c r="F7" s="24" t="str">
        <f ca="1">IF($AA$2="入れる",VLOOKUP(10,list,5,FALSE),"")</f>
        <v>にく</v>
      </c>
      <c r="G7" s="24"/>
      <c r="H7" s="24"/>
      <c r="I7" s="24"/>
      <c r="J7" s="21" t="str">
        <f ca="1">VLOOKUP(9,list,16,FALSE)</f>
        <v>た</v>
      </c>
      <c r="K7" s="22"/>
      <c r="L7" s="22"/>
      <c r="M7" s="22"/>
      <c r="N7" s="23"/>
      <c r="O7" s="24" t="str">
        <f ca="1">IF($AA$2="入れる",VLOOKUP(9,list,5,FALSE),"")</f>
        <v/>
      </c>
      <c r="P7" s="24"/>
      <c r="Q7" s="24"/>
      <c r="R7" s="24"/>
      <c r="S7" s="21" t="str">
        <f ca="1">VLOOKUP(8,list,16,FALSE)</f>
        <v>を</v>
      </c>
      <c r="T7" s="22"/>
      <c r="U7" s="22"/>
      <c r="V7" s="22"/>
      <c r="W7" s="23"/>
      <c r="X7" s="24" t="str">
        <f ca="1">IF($AA$2="入れる",VLOOKUP(8,list,5,FALSE),"")</f>
        <v/>
      </c>
      <c r="Y7" s="24"/>
      <c r="Z7" s="24"/>
      <c r="AA7" s="24"/>
      <c r="AB7" s="21" t="str">
        <f ca="1">VLOOKUP(7,list,16,FALSE)</f>
        <v>家</v>
      </c>
      <c r="AC7" s="22"/>
      <c r="AD7" s="22"/>
      <c r="AE7" s="22"/>
      <c r="AF7" s="23"/>
      <c r="AG7" s="24" t="str">
        <f ca="1">IF($AA$2="入れる",VLOOKUP(7,list,5,FALSE),"")</f>
        <v>か</v>
      </c>
      <c r="AH7" s="24"/>
      <c r="AI7" s="24"/>
      <c r="AJ7" s="24"/>
      <c r="AK7" s="21" t="str">
        <f ca="1">VLOOKUP(6,list,16,FALSE)</f>
        <v>で</v>
      </c>
      <c r="AL7" s="22"/>
      <c r="AM7" s="22"/>
      <c r="AN7" s="22"/>
      <c r="AO7" s="23"/>
      <c r="AP7" s="24" t="str">
        <f ca="1">IF($AA$2="入れる",VLOOKUP(6,list,5,FALSE),"")</f>
        <v/>
      </c>
      <c r="AQ7" s="24"/>
      <c r="AR7" s="24"/>
      <c r="AS7" s="24"/>
      <c r="AT7" s="21" t="str">
        <f ca="1">VLOOKUP(5,list,16,FALSE)</f>
        <v>紙</v>
      </c>
      <c r="AU7" s="22"/>
      <c r="AV7" s="22"/>
      <c r="AW7" s="22"/>
      <c r="AX7" s="23"/>
      <c r="AY7" s="24" t="str">
        <f ca="1">IF($AA$2="入れる",VLOOKUP(5,list,5,FALSE),"")</f>
        <v>がみ</v>
      </c>
      <c r="AZ7" s="24"/>
      <c r="BA7" s="24"/>
      <c r="BB7" s="24"/>
      <c r="BC7" s="21" t="str">
        <f ca="1">VLOOKUP(4,list,16,FALSE)</f>
        <v>の</v>
      </c>
      <c r="BD7" s="22"/>
      <c r="BE7" s="22"/>
      <c r="BF7" s="22"/>
      <c r="BG7" s="23"/>
      <c r="BH7" s="24" t="str">
        <f ca="1">IF($AA$2="入れる",VLOOKUP(4,list,5,FALSE),"")</f>
        <v/>
      </c>
      <c r="BI7" s="24"/>
      <c r="BJ7" s="24"/>
      <c r="BK7" s="24"/>
      <c r="BL7" s="21" t="str">
        <f ca="1">VLOOKUP(3,list,16,FALSE)</f>
        <v>帳</v>
      </c>
      <c r="BM7" s="22"/>
      <c r="BN7" s="22"/>
      <c r="BO7" s="22"/>
      <c r="BP7" s="23"/>
      <c r="BQ7" s="24" t="str">
        <f ca="1">IF($AA$2="入れる",VLOOKUP(3,list,5,FALSE),"")</f>
        <v>ちょう</v>
      </c>
      <c r="BR7" s="24"/>
      <c r="BS7" s="24"/>
      <c r="BT7" s="24"/>
      <c r="BU7" s="21" t="str">
        <f ca="1">VLOOKUP(2,list,16,FALSE)</f>
        <v>が</v>
      </c>
      <c r="BV7" s="22"/>
      <c r="BW7" s="22"/>
      <c r="BX7" s="22"/>
      <c r="BY7" s="23"/>
      <c r="BZ7" s="24" t="str">
        <f ca="1">IF($AA$2="入れる",VLOOKUP(2,list,5,FALSE),"")</f>
        <v/>
      </c>
      <c r="CA7" s="24"/>
      <c r="CB7" s="24"/>
      <c r="CC7" s="24"/>
      <c r="CD7" s="21" t="str">
        <f ca="1">VLOOKUP(1,list,16,FALSE)</f>
        <v>代</v>
      </c>
      <c r="CE7" s="22"/>
      <c r="CF7" s="22"/>
      <c r="CG7" s="22"/>
      <c r="CH7" s="23"/>
      <c r="CI7" s="24" t="str">
        <f ca="1">IF($AA$2="入れる",VLOOKUP(1,list,5,FALSE),"")</f>
        <v>か</v>
      </c>
      <c r="CJ7" s="24"/>
      <c r="CK7" s="24"/>
      <c r="CL7" s="24"/>
      <c r="CM7" s="30"/>
      <c r="CN7" s="31"/>
      <c r="CO7" s="31"/>
      <c r="CP7" s="32"/>
      <c r="ET7" s="18"/>
      <c r="EU7" s="18"/>
      <c r="EV7" s="18"/>
      <c r="EW7" s="18"/>
      <c r="EX7" s="18"/>
      <c r="EZ7" s="18"/>
      <c r="FA7" s="18"/>
      <c r="FB7" s="18"/>
      <c r="FC7" s="18"/>
      <c r="FD7" s="18"/>
      <c r="FE7" s="18"/>
      <c r="FF7" s="18"/>
    </row>
    <row r="8" spans="1:179" ht="52.5" customHeight="1" thickBot="1" x14ac:dyDescent="0.2">
      <c r="A8" s="21" t="str">
        <f ca="1">VLOOKUP(10,list,17,FALSE)</f>
        <v>を</v>
      </c>
      <c r="B8" s="22"/>
      <c r="C8" s="22"/>
      <c r="D8" s="22"/>
      <c r="E8" s="23"/>
      <c r="F8" s="24" t="str">
        <f ca="1">IF($AA$2="入れる",VLOOKUP(10,list,6,FALSE),"")</f>
        <v/>
      </c>
      <c r="G8" s="24"/>
      <c r="H8" s="24"/>
      <c r="I8" s="24"/>
      <c r="J8" s="21" t="str">
        <f ca="1">VLOOKUP(9,list,17,FALSE)</f>
        <v>ボ</v>
      </c>
      <c r="K8" s="22"/>
      <c r="L8" s="22"/>
      <c r="M8" s="22"/>
      <c r="N8" s="23"/>
      <c r="O8" s="24" t="str">
        <f ca="1">IF($AA$2="入れる",VLOOKUP(9,list,6,FALSE),"")</f>
        <v/>
      </c>
      <c r="P8" s="24"/>
      <c r="Q8" s="24"/>
      <c r="R8" s="24"/>
      <c r="S8" s="21" t="str">
        <f ca="1">VLOOKUP(8,list,17,FALSE)</f>
        <v>も</v>
      </c>
      <c r="T8" s="22"/>
      <c r="U8" s="22"/>
      <c r="V8" s="22"/>
      <c r="W8" s="23"/>
      <c r="X8" s="24" t="str">
        <f ca="1">IF($AA$2="入れる",VLOOKUP(8,list,6,FALSE),"")</f>
        <v/>
      </c>
      <c r="Y8" s="24"/>
      <c r="Z8" s="24"/>
      <c r="AA8" s="24"/>
      <c r="AB8" s="21" t="str">
        <f ca="1">VLOOKUP(7,list,17,FALSE)</f>
        <v>が</v>
      </c>
      <c r="AC8" s="22"/>
      <c r="AD8" s="22"/>
      <c r="AE8" s="22"/>
      <c r="AF8" s="23"/>
      <c r="AG8" s="24" t="str">
        <f ca="1">IF($AA$2="入れる",VLOOKUP(7,list,6,FALSE),"")</f>
        <v/>
      </c>
      <c r="AH8" s="24"/>
      <c r="AI8" s="24"/>
      <c r="AJ8" s="24"/>
      <c r="AK8" s="21" t="str">
        <f ca="1">VLOOKUP(6,list,17,FALSE)</f>
        <v>と</v>
      </c>
      <c r="AL8" s="22"/>
      <c r="AM8" s="22"/>
      <c r="AN8" s="22"/>
      <c r="AO8" s="23"/>
      <c r="AP8" s="24" t="str">
        <f ca="1">IF($AA$2="入れる",VLOOKUP(6,list,6,FALSE),"")</f>
        <v/>
      </c>
      <c r="AQ8" s="24"/>
      <c r="AR8" s="24"/>
      <c r="AS8" s="24"/>
      <c r="AT8" s="21" t="str">
        <f ca="1">VLOOKUP(5,list,17,FALSE)</f>
        <v>の</v>
      </c>
      <c r="AU8" s="22"/>
      <c r="AV8" s="22"/>
      <c r="AW8" s="22"/>
      <c r="AX8" s="23"/>
      <c r="AY8" s="24" t="str">
        <f ca="1">IF($AA$2="入れる",VLOOKUP(5,list,6,FALSE),"")</f>
        <v/>
      </c>
      <c r="AZ8" s="24"/>
      <c r="BA8" s="24"/>
      <c r="BB8" s="24"/>
      <c r="BC8" s="21" t="str">
        <f ca="1">VLOOKUP(4,list,17,FALSE)</f>
        <v>セ</v>
      </c>
      <c r="BD8" s="22"/>
      <c r="BE8" s="22"/>
      <c r="BF8" s="22"/>
      <c r="BG8" s="23"/>
      <c r="BH8" s="24" t="str">
        <f ca="1">IF($AA$2="入れる",VLOOKUP(4,list,6,FALSE),"")</f>
        <v/>
      </c>
      <c r="BI8" s="24"/>
      <c r="BJ8" s="24"/>
      <c r="BK8" s="24"/>
      <c r="BL8" s="21" t="str">
        <f ca="1">VLOOKUP(3,list,17,FALSE)</f>
        <v>に</v>
      </c>
      <c r="BM8" s="22"/>
      <c r="BN8" s="22"/>
      <c r="BO8" s="22"/>
      <c r="BP8" s="23"/>
      <c r="BQ8" s="24" t="str">
        <f ca="1">IF($AA$2="入れる",VLOOKUP(3,list,6,FALSE),"")</f>
        <v/>
      </c>
      <c r="BR8" s="24"/>
      <c r="BS8" s="24"/>
      <c r="BT8" s="24"/>
      <c r="BU8" s="21" t="str">
        <f ca="1">VLOOKUP(2,list,17,FALSE)</f>
        <v>交</v>
      </c>
      <c r="BV8" s="22"/>
      <c r="BW8" s="22"/>
      <c r="BX8" s="22"/>
      <c r="BY8" s="23"/>
      <c r="BZ8" s="24" t="str">
        <f ca="1">IF($AA$2="入れる",VLOOKUP(2,list,6,FALSE),"")</f>
        <v>こう</v>
      </c>
      <c r="CA8" s="24"/>
      <c r="CB8" s="24"/>
      <c r="CC8" s="24"/>
      <c r="CD8" s="21" t="str">
        <f ca="1">VLOOKUP(1,list,17,FALSE)</f>
        <v>わ</v>
      </c>
      <c r="CE8" s="22"/>
      <c r="CF8" s="22"/>
      <c r="CG8" s="22"/>
      <c r="CH8" s="23"/>
      <c r="CI8" s="24" t="str">
        <f ca="1">IF($AA$2="入れる",VLOOKUP(1,list,6,FALSE),"")</f>
        <v/>
      </c>
      <c r="CJ8" s="24"/>
      <c r="CK8" s="24"/>
      <c r="CL8" s="24"/>
      <c r="CM8" s="40" t="s">
        <v>0</v>
      </c>
      <c r="CN8" s="41"/>
      <c r="CO8" s="41"/>
      <c r="CP8" s="42"/>
    </row>
    <row r="9" spans="1:179" ht="52.5" customHeight="1" thickBot="1" x14ac:dyDescent="0.2">
      <c r="A9" s="21" t="str">
        <f ca="1">VLOOKUP(10,list,18,FALSE)</f>
        <v>炭</v>
      </c>
      <c r="B9" s="22"/>
      <c r="C9" s="22"/>
      <c r="D9" s="22"/>
      <c r="E9" s="23"/>
      <c r="F9" s="24" t="str">
        <f ca="1">IF($AA$2="入れる",VLOOKUP(10,list,7,FALSE),"")</f>
        <v>すみ</v>
      </c>
      <c r="G9" s="24"/>
      <c r="H9" s="24"/>
      <c r="I9" s="24"/>
      <c r="J9" s="21" t="str">
        <f ca="1">VLOOKUP(9,list,18,FALSE)</f>
        <v>ー</v>
      </c>
      <c r="K9" s="22"/>
      <c r="L9" s="22"/>
      <c r="M9" s="22"/>
      <c r="N9" s="23"/>
      <c r="O9" s="24" t="str">
        <f ca="1">IF($AA$2="入れる",VLOOKUP(9,list,7,FALSE),"")</f>
        <v/>
      </c>
      <c r="P9" s="24"/>
      <c r="Q9" s="24"/>
      <c r="R9" s="24"/>
      <c r="S9" s="21" t="str">
        <f ca="1">VLOOKUP(8,list,18,FALSE)</f>
        <v>や</v>
      </c>
      <c r="T9" s="22"/>
      <c r="U9" s="22"/>
      <c r="V9" s="22"/>
      <c r="W9" s="23"/>
      <c r="X9" s="24" t="str">
        <f ca="1">IF($AA$2="入れる",VLOOKUP(8,list,7,FALSE),"")</f>
        <v/>
      </c>
      <c r="Y9" s="24"/>
      <c r="Z9" s="24"/>
      <c r="AA9" s="24"/>
      <c r="AB9" s="21" t="str">
        <f ca="1">VLOOKUP(7,list,18,FALSE)</f>
        <v>雨</v>
      </c>
      <c r="AC9" s="22"/>
      <c r="AD9" s="22"/>
      <c r="AE9" s="22"/>
      <c r="AF9" s="23"/>
      <c r="AG9" s="24" t="str">
        <f ca="1">IF($AA$2="入れる",VLOOKUP(7,list,7,FALSE),"")</f>
        <v>あま</v>
      </c>
      <c r="AH9" s="24"/>
      <c r="AI9" s="24"/>
      <c r="AJ9" s="24"/>
      <c r="AK9" s="21" t="str">
        <f ca="1">VLOOKUP(6,list,18,FALSE)</f>
        <v>う</v>
      </c>
      <c r="AL9" s="22"/>
      <c r="AM9" s="22"/>
      <c r="AN9" s="22"/>
      <c r="AO9" s="23"/>
      <c r="AP9" s="24" t="str">
        <f ca="1">IF($AA$2="入れる",VLOOKUP(6,list,7,FALSE),"")</f>
        <v/>
      </c>
      <c r="AQ9" s="24"/>
      <c r="AR9" s="24"/>
      <c r="AS9" s="24"/>
      <c r="AT9" s="21" t="str">
        <f ca="1">VLOOKUP(5,list,18,FALSE)</f>
        <v>代</v>
      </c>
      <c r="AU9" s="22"/>
      <c r="AV9" s="22"/>
      <c r="AW9" s="22"/>
      <c r="AX9" s="23"/>
      <c r="AY9" s="24" t="str">
        <f ca="1">IF($AA$2="入れる",VLOOKUP(5,list,7,FALSE),"")</f>
        <v>だい</v>
      </c>
      <c r="AZ9" s="24"/>
      <c r="BA9" s="24"/>
      <c r="BB9" s="24"/>
      <c r="BC9" s="21" t="str">
        <f ca="1">VLOOKUP(4,list,18,FALSE)</f>
        <v>ー</v>
      </c>
      <c r="BD9" s="22"/>
      <c r="BE9" s="22"/>
      <c r="BF9" s="22"/>
      <c r="BG9" s="23"/>
      <c r="BH9" s="24" t="str">
        <f ca="1">IF($AA$2="入れる",VLOOKUP(4,list,7,FALSE),"")</f>
        <v/>
      </c>
      <c r="BI9" s="24"/>
      <c r="BJ9" s="24"/>
      <c r="BK9" s="24"/>
      <c r="BL9" s="21" t="str">
        <f ca="1">VLOOKUP(3,list,18,FALSE)</f>
        <v>宿</v>
      </c>
      <c r="BM9" s="22"/>
      <c r="BN9" s="22"/>
      <c r="BO9" s="22"/>
      <c r="BP9" s="23"/>
      <c r="BQ9" s="24" t="str">
        <f ca="1">IF($AA$2="入れる",VLOOKUP(3,list,7,FALSE),"")</f>
        <v>しゅく</v>
      </c>
      <c r="BR9" s="24"/>
      <c r="BS9" s="24"/>
      <c r="BT9" s="24"/>
      <c r="BU9" s="21" t="str">
        <f ca="1">VLOOKUP(2,list,18,FALSE)</f>
        <v>代</v>
      </c>
      <c r="BV9" s="22"/>
      <c r="BW9" s="22"/>
      <c r="BX9" s="22"/>
      <c r="BY9" s="23"/>
      <c r="BZ9" s="24" t="str">
        <f ca="1">IF($AA$2="入れる",VLOOKUP(2,list,7,FALSE),"")</f>
        <v>たい</v>
      </c>
      <c r="CA9" s="24"/>
      <c r="CB9" s="24"/>
      <c r="CC9" s="24"/>
      <c r="CD9" s="21" t="str">
        <f ca="1">VLOOKUP(1,list,18,FALSE)</f>
        <v>り</v>
      </c>
      <c r="CE9" s="22"/>
      <c r="CF9" s="22"/>
      <c r="CG9" s="22"/>
      <c r="CH9" s="23"/>
      <c r="CI9" s="24" t="str">
        <f ca="1">IF($AA$2="入れる",VLOOKUP(1,list,7,FALSE),"")</f>
        <v/>
      </c>
      <c r="CJ9" s="24"/>
      <c r="CK9" s="24"/>
      <c r="CL9" s="24"/>
      <c r="CM9" s="43"/>
      <c r="CN9" s="44"/>
      <c r="CO9" s="44"/>
      <c r="CP9" s="45"/>
    </row>
    <row r="10" spans="1:179" ht="52.5" customHeight="1" thickBot="1" x14ac:dyDescent="0.2">
      <c r="A10" s="21" t="str">
        <f ca="1">VLOOKUP(10,list,19,FALSE)</f>
        <v>火</v>
      </c>
      <c r="B10" s="22"/>
      <c r="C10" s="22"/>
      <c r="D10" s="22"/>
      <c r="E10" s="23"/>
      <c r="F10" s="24" t="str">
        <f ca="1">IF($AA$2="入れる",VLOOKUP(10,list,8,FALSE),"")</f>
        <v>び</v>
      </c>
      <c r="G10" s="24"/>
      <c r="H10" s="24"/>
      <c r="I10" s="24"/>
      <c r="J10" s="21" t="str">
        <f ca="1">VLOOKUP(9,list,19,FALSE)</f>
        <v>ル</v>
      </c>
      <c r="K10" s="22"/>
      <c r="L10" s="22"/>
      <c r="M10" s="22"/>
      <c r="N10" s="23"/>
      <c r="O10" s="24" t="str">
        <f ca="1">IF($AA$2="入れる",VLOOKUP(9,list,8,FALSE),"")</f>
        <v/>
      </c>
      <c r="P10" s="24"/>
      <c r="Q10" s="24"/>
      <c r="R10" s="24"/>
      <c r="S10" s="21" t="str">
        <f ca="1">VLOOKUP(8,list,19,FALSE)</f>
        <v>す</v>
      </c>
      <c r="T10" s="22"/>
      <c r="U10" s="22"/>
      <c r="V10" s="22"/>
      <c r="W10" s="23"/>
      <c r="X10" s="24" t="str">
        <f ca="1">IF($AA$2="入れる",VLOOKUP(8,list,8,FALSE),"")</f>
        <v/>
      </c>
      <c r="Y10" s="24"/>
      <c r="Z10" s="24"/>
      <c r="AA10" s="24"/>
      <c r="AB10" s="21" t="str">
        <f ca="1">VLOOKUP(7,list,19,FALSE)</f>
        <v>宿</v>
      </c>
      <c r="AC10" s="22"/>
      <c r="AD10" s="22"/>
      <c r="AE10" s="22"/>
      <c r="AF10" s="23"/>
      <c r="AG10" s="24" t="str">
        <f ca="1">IF($AA$2="入れる",VLOOKUP(7,list,8,FALSE),"")</f>
        <v>やど</v>
      </c>
      <c r="AH10" s="24"/>
      <c r="AI10" s="24"/>
      <c r="AJ10" s="24"/>
      <c r="AK10" s="21" t="str">
        <f ca="1">VLOOKUP(6,list,19,FALSE)</f>
        <v>ふ</v>
      </c>
      <c r="AL10" s="22"/>
      <c r="AM10" s="22"/>
      <c r="AN10" s="22"/>
      <c r="AO10" s="23"/>
      <c r="AP10" s="24" t="str">
        <f ca="1">IF($AA$2="入れる",VLOOKUP(6,list,8,FALSE),"")</f>
        <v/>
      </c>
      <c r="AQ10" s="24"/>
      <c r="AR10" s="24"/>
      <c r="AS10" s="24"/>
      <c r="AT10" s="21" t="str">
        <f ca="1">VLOOKUP(5,list,19,FALSE)</f>
        <v>金</v>
      </c>
      <c r="AU10" s="22"/>
      <c r="AV10" s="22"/>
      <c r="AW10" s="22"/>
      <c r="AX10" s="23"/>
      <c r="AY10" s="24" t="str">
        <f ca="1">IF($AA$2="入れる",VLOOKUP(5,list,8,FALSE),"")</f>
        <v>きん</v>
      </c>
      <c r="AZ10" s="24"/>
      <c r="BA10" s="24"/>
      <c r="BB10" s="24"/>
      <c r="BC10" s="21" t="str">
        <f ca="1">VLOOKUP(4,list,19,FALSE)</f>
        <v>タ</v>
      </c>
      <c r="BD10" s="22"/>
      <c r="BE10" s="22"/>
      <c r="BF10" s="22"/>
      <c r="BG10" s="23"/>
      <c r="BH10" s="24" t="str">
        <f ca="1">IF($AA$2="入れる",VLOOKUP(4,list,8,FALSE),"")</f>
        <v/>
      </c>
      <c r="BI10" s="24"/>
      <c r="BJ10" s="24"/>
      <c r="BK10" s="24"/>
      <c r="BL10" s="21" t="str">
        <f ca="1">VLOOKUP(3,list,19,FALSE)</f>
        <v>題</v>
      </c>
      <c r="BM10" s="22"/>
      <c r="BN10" s="22"/>
      <c r="BO10" s="22"/>
      <c r="BP10" s="23"/>
      <c r="BQ10" s="24" t="str">
        <f ca="1">IF($AA$2="入れる",VLOOKUP(3,list,8,FALSE),"")</f>
        <v>だい</v>
      </c>
      <c r="BR10" s="24"/>
      <c r="BS10" s="24"/>
      <c r="BT10" s="24"/>
      <c r="BU10" s="21" t="str">
        <f ca="1">VLOOKUP(2,list,19,FALSE)</f>
        <v>す</v>
      </c>
      <c r="BV10" s="22"/>
      <c r="BW10" s="22"/>
      <c r="BX10" s="22"/>
      <c r="BY10" s="23"/>
      <c r="BZ10" s="24" t="str">
        <f ca="1">IF($AA$2="入れる",VLOOKUP(2,list,8,FALSE),"")</f>
        <v/>
      </c>
      <c r="CA10" s="24"/>
      <c r="CB10" s="24"/>
      <c r="CC10" s="24"/>
      <c r="CD10" s="21" t="str">
        <f ca="1">VLOOKUP(1,list,19,FALSE)</f>
        <v>に</v>
      </c>
      <c r="CE10" s="22"/>
      <c r="CF10" s="22"/>
      <c r="CG10" s="22"/>
      <c r="CH10" s="23"/>
      <c r="CI10" s="24" t="str">
        <f ca="1">IF($AA$2="入れる",VLOOKUP(1,list,8,FALSE),"")</f>
        <v/>
      </c>
      <c r="CJ10" s="24"/>
      <c r="CK10" s="24"/>
      <c r="CL10" s="24"/>
      <c r="CM10" s="43"/>
      <c r="CN10" s="44"/>
      <c r="CO10" s="44"/>
      <c r="CP10" s="45"/>
    </row>
    <row r="11" spans="1:179" ht="52.5" customHeight="1" thickBot="1" x14ac:dyDescent="0.2">
      <c r="A11" s="21" t="str">
        <f ca="1">VLOOKUP(10,list,20,FALSE)</f>
        <v>で</v>
      </c>
      <c r="B11" s="22"/>
      <c r="C11" s="22"/>
      <c r="D11" s="22"/>
      <c r="E11" s="23"/>
      <c r="F11" s="24" t="str">
        <f ca="1">IF($AA$2="入れる",VLOOKUP(10,list,9,FALSE),"")</f>
        <v/>
      </c>
      <c r="G11" s="24"/>
      <c r="H11" s="24"/>
      <c r="I11" s="24"/>
      <c r="J11" s="21" t="str">
        <f ca="1">VLOOKUP(9,list,20,FALSE)</f>
        <v>が</v>
      </c>
      <c r="K11" s="22"/>
      <c r="L11" s="22"/>
      <c r="M11" s="22"/>
      <c r="N11" s="23"/>
      <c r="O11" s="24" t="str">
        <f ca="1">IF($AA$2="入れる",VLOOKUP(9,list,9,FALSE),"")</f>
        <v/>
      </c>
      <c r="P11" s="24"/>
      <c r="Q11" s="24"/>
      <c r="R11" s="24"/>
      <c r="S11" s="21" t="str">
        <f ca="1">VLOOKUP(8,list,20,FALSE)</f>
        <v/>
      </c>
      <c r="T11" s="22"/>
      <c r="U11" s="22"/>
      <c r="V11" s="22"/>
      <c r="W11" s="23"/>
      <c r="X11" s="24" t="str">
        <f ca="1">IF($AA$2="入れる",VLOOKUP(8,list,9,FALSE),"")</f>
        <v/>
      </c>
      <c r="Y11" s="24"/>
      <c r="Z11" s="24"/>
      <c r="AA11" s="24"/>
      <c r="AB11" s="21" t="str">
        <f ca="1">VLOOKUP(7,list,20,FALSE)</f>
        <v>り</v>
      </c>
      <c r="AC11" s="22"/>
      <c r="AD11" s="22"/>
      <c r="AE11" s="22"/>
      <c r="AF11" s="23"/>
      <c r="AG11" s="24" t="str">
        <f ca="1">IF($AA$2="入れる",VLOOKUP(7,list,9,FALSE),"")</f>
        <v/>
      </c>
      <c r="AH11" s="24"/>
      <c r="AI11" s="24"/>
      <c r="AJ11" s="24"/>
      <c r="AK11" s="21" t="str">
        <f ca="1">VLOOKUP(6,list,20,FALSE)</f>
        <v>一</v>
      </c>
      <c r="AL11" s="22"/>
      <c r="AM11" s="22"/>
      <c r="AN11" s="22"/>
      <c r="AO11" s="23"/>
      <c r="AP11" s="24" t="str">
        <f ca="1">IF($AA$2="入れる",VLOOKUP(6,list,9,FALSE),"")</f>
        <v>いっ</v>
      </c>
      <c r="AQ11" s="24"/>
      <c r="AR11" s="24"/>
      <c r="AS11" s="24"/>
      <c r="AT11" s="21" t="str">
        <f ca="1">VLOOKUP(5,list,20,FALSE)</f>
        <v>を</v>
      </c>
      <c r="AU11" s="22"/>
      <c r="AV11" s="22"/>
      <c r="AW11" s="22"/>
      <c r="AX11" s="23"/>
      <c r="AY11" s="24" t="str">
        <f ca="1">IF($AA$2="入れる",VLOOKUP(5,list,9,FALSE),"")</f>
        <v/>
      </c>
      <c r="AZ11" s="24"/>
      <c r="BA11" s="24"/>
      <c r="BB11" s="24"/>
      <c r="BC11" s="21" t="str">
        <f ca="1">VLOOKUP(4,list,20,FALSE)</f>
        <v>ー</v>
      </c>
      <c r="BD11" s="22"/>
      <c r="BE11" s="22"/>
      <c r="BF11" s="22"/>
      <c r="BG11" s="23"/>
      <c r="BH11" s="24" t="str">
        <f ca="1">IF($AA$2="入れる",VLOOKUP(4,list,9,FALSE),"")</f>
        <v/>
      </c>
      <c r="BI11" s="24"/>
      <c r="BJ11" s="24"/>
      <c r="BK11" s="24"/>
      <c r="BL11" s="21" t="str">
        <f ca="1">VLOOKUP(3,list,20,FALSE)</f>
        <v>を</v>
      </c>
      <c r="BM11" s="22"/>
      <c r="BN11" s="22"/>
      <c r="BO11" s="22"/>
      <c r="BP11" s="23"/>
      <c r="BQ11" s="24" t="str">
        <f ca="1">IF($AA$2="入れる",VLOOKUP(3,list,9,FALSE),"")</f>
        <v/>
      </c>
      <c r="BR11" s="24"/>
      <c r="BS11" s="24"/>
      <c r="BT11" s="24"/>
      <c r="BU11" s="21" t="str">
        <f ca="1">VLOOKUP(2,list,20,FALSE)</f>
        <v>る</v>
      </c>
      <c r="BV11" s="22"/>
      <c r="BW11" s="22"/>
      <c r="BX11" s="22"/>
      <c r="BY11" s="23"/>
      <c r="BZ11" s="24" t="str">
        <f ca="1">IF($AA$2="入れる",VLOOKUP(2,list,9,FALSE),"")</f>
        <v/>
      </c>
      <c r="CA11" s="24"/>
      <c r="CB11" s="24"/>
      <c r="CC11" s="24"/>
      <c r="CD11" s="21" t="str">
        <f ca="1">VLOOKUP(1,list,20,FALSE)</f>
        <v>行</v>
      </c>
      <c r="CE11" s="22"/>
      <c r="CF11" s="22"/>
      <c r="CG11" s="22"/>
      <c r="CH11" s="23"/>
      <c r="CI11" s="24" t="str">
        <f ca="1">IF($AA$2="入れる",VLOOKUP(1,list,9,FALSE),"")</f>
        <v>い</v>
      </c>
      <c r="CJ11" s="24"/>
      <c r="CK11" s="24"/>
      <c r="CL11" s="24"/>
      <c r="CM11" s="43"/>
      <c r="CN11" s="44"/>
      <c r="CO11" s="44"/>
      <c r="CP11" s="45"/>
    </row>
    <row r="12" spans="1:179" ht="52.5" customHeight="1" thickBot="1" x14ac:dyDescent="0.2">
      <c r="A12" s="21" t="str">
        <f ca="1">VLOOKUP(10,list,21,FALSE)</f>
        <v>や</v>
      </c>
      <c r="B12" s="22"/>
      <c r="C12" s="22"/>
      <c r="D12" s="22"/>
      <c r="E12" s="23"/>
      <c r="F12" s="24" t="str">
        <f ca="1">IF($AA$2="入れる",VLOOKUP(10,list,10,FALSE),"")</f>
        <v/>
      </c>
      <c r="G12" s="24"/>
      <c r="H12" s="24"/>
      <c r="I12" s="24"/>
      <c r="J12" s="21" t="str">
        <f ca="1">VLOOKUP(9,list,21,FALSE)</f>
        <v>曲</v>
      </c>
      <c r="K12" s="22"/>
      <c r="L12" s="22"/>
      <c r="M12" s="22"/>
      <c r="N12" s="23"/>
      <c r="O12" s="24" t="str">
        <f ca="1">IF($AA$2="入れる",VLOOKUP(9,list,10,FALSE),"")</f>
        <v>ま</v>
      </c>
      <c r="P12" s="24"/>
      <c r="Q12" s="24"/>
      <c r="R12" s="24"/>
      <c r="S12" s="21" t="str">
        <f ca="1">VLOOKUP(8,list,21,FALSE)</f>
        <v/>
      </c>
      <c r="T12" s="22"/>
      <c r="U12" s="22"/>
      <c r="V12" s="22"/>
      <c r="W12" s="23"/>
      <c r="X12" s="24" t="str">
        <f ca="1">IF($AA$2="入れる",VLOOKUP(8,list,10,FALSE),"")</f>
        <v/>
      </c>
      <c r="Y12" s="24"/>
      <c r="Z12" s="24"/>
      <c r="AA12" s="24"/>
      <c r="AB12" s="21" t="str">
        <f ca="1">VLOOKUP(7,list,21,FALSE)</f>
        <v>を</v>
      </c>
      <c r="AC12" s="22"/>
      <c r="AD12" s="22"/>
      <c r="AE12" s="22"/>
      <c r="AF12" s="23"/>
      <c r="AG12" s="24" t="str">
        <f ca="1">IF($AA$2="入れる",VLOOKUP(7,list,10,FALSE),"")</f>
        <v/>
      </c>
      <c r="AH12" s="24"/>
      <c r="AI12" s="24"/>
      <c r="AJ12" s="24"/>
      <c r="AK12" s="21" t="str">
        <f ca="1">VLOOKUP(6,list,21,FALSE)</f>
        <v>丁</v>
      </c>
      <c r="AL12" s="22"/>
      <c r="AM12" s="22"/>
      <c r="AN12" s="22"/>
      <c r="AO12" s="23"/>
      <c r="AP12" s="24" t="str">
        <f ca="1">IF($AA$2="入れる",VLOOKUP(6,list,10,FALSE),"")</f>
        <v>ちょう</v>
      </c>
      <c r="AQ12" s="24"/>
      <c r="AR12" s="24"/>
      <c r="AS12" s="24"/>
      <c r="AT12" s="21" t="str">
        <f ca="1">VLOOKUP(5,list,21,FALSE)</f>
        <v>は</v>
      </c>
      <c r="AU12" s="22"/>
      <c r="AV12" s="22"/>
      <c r="AW12" s="22"/>
      <c r="AX12" s="23"/>
      <c r="AY12" s="24" t="str">
        <f ca="1">IF($AA$2="入れる",VLOOKUP(5,list,10,FALSE),"")</f>
        <v/>
      </c>
      <c r="AZ12" s="24"/>
      <c r="BA12" s="24"/>
      <c r="BB12" s="24"/>
      <c r="BC12" s="21" t="str">
        <f ca="1">VLOOKUP(4,list,21,FALSE)</f>
        <v/>
      </c>
      <c r="BD12" s="22"/>
      <c r="BE12" s="22"/>
      <c r="BF12" s="22"/>
      <c r="BG12" s="23"/>
      <c r="BH12" s="24" t="str">
        <f ca="1">IF($AA$2="入れる",VLOOKUP(4,list,10,FALSE),"")</f>
        <v/>
      </c>
      <c r="BI12" s="24"/>
      <c r="BJ12" s="24"/>
      <c r="BK12" s="24"/>
      <c r="BL12" s="21" t="str">
        <f ca="1">VLOOKUP(3,list,21,FALSE)</f>
        <v>書</v>
      </c>
      <c r="BM12" s="22"/>
      <c r="BN12" s="22"/>
      <c r="BO12" s="22"/>
      <c r="BP12" s="23"/>
      <c r="BQ12" s="24" t="str">
        <f ca="1">IF($AA$2="入れる",VLOOKUP(3,list,10,FALSE),"")</f>
        <v>か</v>
      </c>
      <c r="BR12" s="24"/>
      <c r="BS12" s="24"/>
      <c r="BT12" s="24"/>
      <c r="BU12" s="21" t="str">
        <f ca="1">VLOOKUP(2,list,21,FALSE)</f>
        <v/>
      </c>
      <c r="BV12" s="22"/>
      <c r="BW12" s="22"/>
      <c r="BX12" s="22"/>
      <c r="BY12" s="23"/>
      <c r="BZ12" s="24" t="str">
        <f ca="1">IF($AA$2="入れる",VLOOKUP(2,list,10,FALSE),"")</f>
        <v/>
      </c>
      <c r="CA12" s="24"/>
      <c r="CB12" s="24"/>
      <c r="CC12" s="24"/>
      <c r="CD12" s="21" t="str">
        <f ca="1">VLOOKUP(1,list,21,FALSE)</f>
        <v>く</v>
      </c>
      <c r="CE12" s="22"/>
      <c r="CF12" s="22"/>
      <c r="CG12" s="22"/>
      <c r="CH12" s="23"/>
      <c r="CI12" s="24" t="str">
        <f ca="1">IF($AA$2="入れる",VLOOKUP(1,list,10,FALSE),"")</f>
        <v/>
      </c>
      <c r="CJ12" s="24"/>
      <c r="CK12" s="24"/>
      <c r="CL12" s="24"/>
      <c r="CM12" s="43"/>
      <c r="CN12" s="44"/>
      <c r="CO12" s="44"/>
      <c r="CP12" s="45"/>
      <c r="CX12" s="19"/>
    </row>
    <row r="13" spans="1:179" ht="52.5" customHeight="1" thickBot="1" x14ac:dyDescent="0.2">
      <c r="A13" s="21" t="str">
        <f ca="1">VLOOKUP(10,list,22,FALSE)</f>
        <v>く</v>
      </c>
      <c r="B13" s="22"/>
      <c r="C13" s="22"/>
      <c r="D13" s="22"/>
      <c r="E13" s="23"/>
      <c r="F13" s="24" t="str">
        <f ca="1">IF($AA$2="入れる",VLOOKUP(10,list,11,FALSE),"")</f>
        <v/>
      </c>
      <c r="G13" s="24"/>
      <c r="H13" s="24"/>
      <c r="I13" s="24"/>
      <c r="J13" s="21" t="str">
        <f ca="1">VLOOKUP(9,list,22,FALSE)</f>
        <v>が</v>
      </c>
      <c r="K13" s="22"/>
      <c r="L13" s="22"/>
      <c r="M13" s="22"/>
      <c r="N13" s="23"/>
      <c r="O13" s="24" t="str">
        <f ca="1">IF($AA$2="入れる",VLOOKUP(9,list,11,FALSE),"")</f>
        <v/>
      </c>
      <c r="P13" s="24"/>
      <c r="Q13" s="24"/>
      <c r="R13" s="24"/>
      <c r="S13" s="21" t="str">
        <f ca="1">VLOOKUP(8,list,22,FALSE)</f>
        <v/>
      </c>
      <c r="T13" s="22"/>
      <c r="U13" s="22"/>
      <c r="V13" s="22"/>
      <c r="W13" s="23"/>
      <c r="X13" s="24" t="str">
        <f ca="1">IF($AA$2="入れる",VLOOKUP(8,list,11,FALSE),"")</f>
        <v/>
      </c>
      <c r="Y13" s="24"/>
      <c r="Z13" s="24"/>
      <c r="AA13" s="24"/>
      <c r="AB13" s="21" t="str">
        <f ca="1">VLOOKUP(7,list,22,FALSE)</f>
        <v>す</v>
      </c>
      <c r="AC13" s="22"/>
      <c r="AD13" s="22"/>
      <c r="AE13" s="22"/>
      <c r="AF13" s="23"/>
      <c r="AG13" s="24" t="str">
        <f ca="1">IF($AA$2="入れる",VLOOKUP(7,list,11,FALSE),"")</f>
        <v/>
      </c>
      <c r="AH13" s="24"/>
      <c r="AI13" s="24"/>
      <c r="AJ13" s="24"/>
      <c r="AK13" s="21" t="str">
        <f ca="1">VLOOKUP(6,list,22,FALSE)</f>
        <v>食</v>
      </c>
      <c r="AL13" s="22"/>
      <c r="AM13" s="22"/>
      <c r="AN13" s="22"/>
      <c r="AO13" s="23"/>
      <c r="AP13" s="24" t="str">
        <f ca="1">IF($AA$2="入れる",VLOOKUP(6,list,11,FALSE),"")</f>
        <v>た</v>
      </c>
      <c r="AQ13" s="24"/>
      <c r="AR13" s="24"/>
      <c r="AS13" s="24"/>
      <c r="AT13" s="21" t="str">
        <f ca="1">VLOOKUP(5,list,22,FALSE)</f>
        <v>ら</v>
      </c>
      <c r="AU13" s="22"/>
      <c r="AV13" s="22"/>
      <c r="AW13" s="22"/>
      <c r="AX13" s="23"/>
      <c r="AY13" s="24" t="str">
        <f ca="1">IF($AA$2="入れる",VLOOKUP(5,list,11,FALSE),"")</f>
        <v/>
      </c>
      <c r="AZ13" s="24"/>
      <c r="BA13" s="24"/>
      <c r="BB13" s="24"/>
      <c r="BC13" s="21" t="str">
        <f ca="1">VLOOKUP(4,list,22,FALSE)</f>
        <v/>
      </c>
      <c r="BD13" s="22"/>
      <c r="BE13" s="22"/>
      <c r="BF13" s="22"/>
      <c r="BG13" s="23"/>
      <c r="BH13" s="24" t="str">
        <f ca="1">IF($AA$2="入れる",VLOOKUP(4,list,11,FALSE),"")</f>
        <v/>
      </c>
      <c r="BI13" s="24"/>
      <c r="BJ13" s="24"/>
      <c r="BK13" s="24"/>
      <c r="BL13" s="21" t="str">
        <f ca="1">VLOOKUP(3,list,22,FALSE)</f>
        <v>く</v>
      </c>
      <c r="BM13" s="22"/>
      <c r="BN13" s="22"/>
      <c r="BO13" s="22"/>
      <c r="BP13" s="23"/>
      <c r="BQ13" s="24" t="str">
        <f ca="1">IF($AA$2="入れる",VLOOKUP(3,list,11,FALSE),"")</f>
        <v/>
      </c>
      <c r="BR13" s="24"/>
      <c r="BS13" s="24"/>
      <c r="BT13" s="24"/>
      <c r="BU13" s="21" t="str">
        <f ca="1">VLOOKUP(2,list,22,FALSE)</f>
        <v/>
      </c>
      <c r="BV13" s="22"/>
      <c r="BW13" s="22"/>
      <c r="BX13" s="22"/>
      <c r="BY13" s="23"/>
      <c r="BZ13" s="24" t="str">
        <f ca="1">IF($AA$2="入れる",VLOOKUP(2,list,11,FALSE),"")</f>
        <v/>
      </c>
      <c r="CA13" s="24"/>
      <c r="CB13" s="24"/>
      <c r="CC13" s="24"/>
      <c r="CD13" s="21" t="str">
        <f ca="1">VLOOKUP(1,list,22,FALSE)</f>
        <v/>
      </c>
      <c r="CE13" s="22"/>
      <c r="CF13" s="22"/>
      <c r="CG13" s="22"/>
      <c r="CH13" s="23"/>
      <c r="CI13" s="24" t="str">
        <f ca="1">IF($AA$2="入れる",VLOOKUP(1,list,11,FALSE),"")</f>
        <v/>
      </c>
      <c r="CJ13" s="24"/>
      <c r="CK13" s="24"/>
      <c r="CL13" s="24"/>
      <c r="CM13" s="43"/>
      <c r="CN13" s="44"/>
      <c r="CO13" s="44"/>
      <c r="CP13" s="45"/>
      <c r="CX13" s="16"/>
    </row>
    <row r="14" spans="1:179" ht="52.5" customHeight="1" thickBot="1" x14ac:dyDescent="0.2">
      <c r="A14" s="21" t="str">
        <f ca="1">VLOOKUP(10,list,23,FALSE)</f>
        <v/>
      </c>
      <c r="B14" s="22"/>
      <c r="C14" s="22"/>
      <c r="D14" s="22"/>
      <c r="E14" s="23"/>
      <c r="F14" s="24" t="str">
        <f ca="1">IF($AA$2="入れる",VLOOKUP(10,list,12,FALSE),"")</f>
        <v/>
      </c>
      <c r="G14" s="24"/>
      <c r="H14" s="24"/>
      <c r="I14" s="24"/>
      <c r="J14" s="21" t="str">
        <f ca="1">VLOOKUP(9,list,23,FALSE)</f>
        <v>る</v>
      </c>
      <c r="K14" s="22"/>
      <c r="L14" s="22"/>
      <c r="M14" s="22"/>
      <c r="N14" s="23"/>
      <c r="O14" s="24" t="str">
        <f ca="1">IF($AA$2="入れる",VLOOKUP(9,list,12,FALSE),"")</f>
        <v/>
      </c>
      <c r="P14" s="24"/>
      <c r="Q14" s="24"/>
      <c r="R14" s="24"/>
      <c r="S14" s="21" t="str">
        <f ca="1">VLOOKUP(8,list,23,FALSE)</f>
        <v/>
      </c>
      <c r="T14" s="22"/>
      <c r="U14" s="22"/>
      <c r="V14" s="22"/>
      <c r="W14" s="23"/>
      <c r="X14" s="24" t="str">
        <f ca="1">IF($AA$2="入れる",VLOOKUP(8,list,12,FALSE),"")</f>
        <v/>
      </c>
      <c r="Y14" s="24"/>
      <c r="Z14" s="24"/>
      <c r="AA14" s="24"/>
      <c r="AB14" s="21" t="str">
        <f ca="1">VLOOKUP(7,list,23,FALSE)</f>
        <v>る</v>
      </c>
      <c r="AC14" s="22"/>
      <c r="AD14" s="22"/>
      <c r="AE14" s="22"/>
      <c r="AF14" s="23"/>
      <c r="AG14" s="24" t="str">
        <f ca="1">IF($AA$2="入れる",VLOOKUP(7,list,12,FALSE),"")</f>
        <v/>
      </c>
      <c r="AH14" s="24"/>
      <c r="AI14" s="24"/>
      <c r="AJ14" s="24"/>
      <c r="AK14" s="21" t="str">
        <f ca="1">VLOOKUP(6,list,23,FALSE)</f>
        <v>べ</v>
      </c>
      <c r="AL14" s="22"/>
      <c r="AM14" s="22"/>
      <c r="AN14" s="22"/>
      <c r="AO14" s="23"/>
      <c r="AP14" s="24" t="str">
        <f ca="1">IF($AA$2="入れる",VLOOKUP(6,list,12,FALSE),"")</f>
        <v/>
      </c>
      <c r="AQ14" s="24"/>
      <c r="AR14" s="24"/>
      <c r="AS14" s="24"/>
      <c r="AT14" s="21" t="str">
        <f ca="1">VLOOKUP(5,list,23,FALSE)</f>
        <v>う</v>
      </c>
      <c r="AU14" s="22"/>
      <c r="AV14" s="22"/>
      <c r="AW14" s="22"/>
      <c r="AX14" s="23"/>
      <c r="AY14" s="24" t="str">
        <f ca="1">IF($AA$2="入れる",VLOOKUP(5,list,12,FALSE),"")</f>
        <v/>
      </c>
      <c r="AZ14" s="24"/>
      <c r="BA14" s="24"/>
      <c r="BB14" s="24"/>
      <c r="BC14" s="21" t="str">
        <f ca="1">VLOOKUP(4,list,23,FALSE)</f>
        <v/>
      </c>
      <c r="BD14" s="22"/>
      <c r="BE14" s="22"/>
      <c r="BF14" s="22"/>
      <c r="BG14" s="23"/>
      <c r="BH14" s="24" t="str">
        <f ca="1">IF($AA$2="入れる",VLOOKUP(4,list,12,FALSE),"")</f>
        <v/>
      </c>
      <c r="BI14" s="24"/>
      <c r="BJ14" s="24"/>
      <c r="BK14" s="24"/>
      <c r="BL14" s="21" t="str">
        <f ca="1">VLOOKUP(3,list,23,FALSE)</f>
        <v/>
      </c>
      <c r="BM14" s="22"/>
      <c r="BN14" s="22"/>
      <c r="BO14" s="22"/>
      <c r="BP14" s="23"/>
      <c r="BQ14" s="24" t="str">
        <f ca="1">IF($AA$2="入れる",VLOOKUP(3,list,12,FALSE),"")</f>
        <v/>
      </c>
      <c r="BR14" s="24"/>
      <c r="BS14" s="24"/>
      <c r="BT14" s="24"/>
      <c r="BU14" s="21" t="str">
        <f ca="1">VLOOKUP(2,list,23,FALSE)</f>
        <v/>
      </c>
      <c r="BV14" s="22"/>
      <c r="BW14" s="22"/>
      <c r="BX14" s="22"/>
      <c r="BY14" s="23"/>
      <c r="BZ14" s="24" t="str">
        <f ca="1">IF($AA$2="入れる",VLOOKUP(2,list,12,FALSE),"")</f>
        <v/>
      </c>
      <c r="CA14" s="24"/>
      <c r="CB14" s="24"/>
      <c r="CC14" s="24"/>
      <c r="CD14" s="21" t="str">
        <f ca="1">VLOOKUP(1,list,23,FALSE)</f>
        <v/>
      </c>
      <c r="CE14" s="22"/>
      <c r="CF14" s="22"/>
      <c r="CG14" s="22"/>
      <c r="CH14" s="23"/>
      <c r="CI14" s="24" t="str">
        <f ca="1">IF($AA$2="入れる",VLOOKUP(1,list,12,FALSE),"")</f>
        <v/>
      </c>
      <c r="CJ14" s="24"/>
      <c r="CK14" s="24"/>
      <c r="CL14" s="24"/>
      <c r="CM14" s="43"/>
      <c r="CN14" s="44"/>
      <c r="CO14" s="44"/>
      <c r="CP14" s="45"/>
      <c r="CX14" s="16"/>
    </row>
    <row r="15" spans="1:179" ht="52.5" customHeight="1" thickBot="1" x14ac:dyDescent="0.2">
      <c r="A15" s="21" t="str">
        <f ca="1">VLOOKUP(10,list,24,FALSE)</f>
        <v/>
      </c>
      <c r="B15" s="22"/>
      <c r="C15" s="22"/>
      <c r="D15" s="22"/>
      <c r="E15" s="23"/>
      <c r="F15" s="24" t="str">
        <f ca="1">IF($AA$2="入れる",VLOOKUP(10,list,13,FALSE),"")</f>
        <v/>
      </c>
      <c r="G15" s="24"/>
      <c r="H15" s="24"/>
      <c r="I15" s="24"/>
      <c r="J15" s="21" t="str">
        <f ca="1">VLOOKUP(9,list,24,FALSE)</f>
        <v/>
      </c>
      <c r="K15" s="22"/>
      <c r="L15" s="22"/>
      <c r="M15" s="22"/>
      <c r="N15" s="23"/>
      <c r="O15" s="24" t="str">
        <f ca="1">IF($AA$2="入れる",VLOOKUP(9,list,13,FALSE),"")</f>
        <v/>
      </c>
      <c r="P15" s="24"/>
      <c r="Q15" s="24"/>
      <c r="R15" s="24"/>
      <c r="S15" s="21" t="str">
        <f ca="1">VLOOKUP(8,list,24,FALSE)</f>
        <v/>
      </c>
      <c r="T15" s="22"/>
      <c r="U15" s="22"/>
      <c r="V15" s="22"/>
      <c r="W15" s="23"/>
      <c r="X15" s="24" t="str">
        <f ca="1">IF($AA$2="入れる",VLOOKUP(8,list,13,FALSE),"")</f>
        <v/>
      </c>
      <c r="Y15" s="24"/>
      <c r="Z15" s="24"/>
      <c r="AA15" s="24"/>
      <c r="AB15" s="21" t="str">
        <f ca="1">VLOOKUP(7,list,24,FALSE)</f>
        <v/>
      </c>
      <c r="AC15" s="22"/>
      <c r="AD15" s="22"/>
      <c r="AE15" s="22"/>
      <c r="AF15" s="23"/>
      <c r="AG15" s="24" t="str">
        <f ca="1">IF($AA$2="入れる",VLOOKUP(7,list,13,FALSE),"")</f>
        <v/>
      </c>
      <c r="AH15" s="24"/>
      <c r="AI15" s="24"/>
      <c r="AJ15" s="24"/>
      <c r="AK15" s="21" t="str">
        <f ca="1">VLOOKUP(6,list,24,FALSE)</f>
        <v>る</v>
      </c>
      <c r="AL15" s="22"/>
      <c r="AM15" s="22"/>
      <c r="AN15" s="22"/>
      <c r="AO15" s="23"/>
      <c r="AP15" s="24" t="str">
        <f ca="1">IF($AA$2="入れる",VLOOKUP(6,list,13,FALSE),"")</f>
        <v/>
      </c>
      <c r="AQ15" s="24"/>
      <c r="AR15" s="24"/>
      <c r="AS15" s="24"/>
      <c r="AT15" s="21" t="str">
        <f ca="1">VLOOKUP(5,list,24,FALSE)</f>
        <v/>
      </c>
      <c r="AU15" s="22"/>
      <c r="AV15" s="22"/>
      <c r="AW15" s="22"/>
      <c r="AX15" s="23"/>
      <c r="AY15" s="24" t="str">
        <f ca="1">IF($AA$2="入れる",VLOOKUP(5,list,13,FALSE),"")</f>
        <v/>
      </c>
      <c r="AZ15" s="24"/>
      <c r="BA15" s="24"/>
      <c r="BB15" s="24"/>
      <c r="BC15" s="21" t="str">
        <f ca="1">VLOOKUP(4,list,24,FALSE)</f>
        <v/>
      </c>
      <c r="BD15" s="22"/>
      <c r="BE15" s="22"/>
      <c r="BF15" s="22"/>
      <c r="BG15" s="23"/>
      <c r="BH15" s="24" t="str">
        <f ca="1">IF($AA$2="入れる",VLOOKUP(4,list,13,FALSE),"")</f>
        <v/>
      </c>
      <c r="BI15" s="24"/>
      <c r="BJ15" s="24"/>
      <c r="BK15" s="24"/>
      <c r="BL15" s="21" t="str">
        <f ca="1">VLOOKUP(3,list,24,FALSE)</f>
        <v/>
      </c>
      <c r="BM15" s="22"/>
      <c r="BN15" s="22"/>
      <c r="BO15" s="22"/>
      <c r="BP15" s="23"/>
      <c r="BQ15" s="24" t="str">
        <f ca="1">IF($AA$2="入れる",VLOOKUP(3,list,13,FALSE),"")</f>
        <v/>
      </c>
      <c r="BR15" s="24"/>
      <c r="BS15" s="24"/>
      <c r="BT15" s="24"/>
      <c r="BU15" s="21" t="str">
        <f ca="1">VLOOKUP(2,list,24,FALSE)</f>
        <v/>
      </c>
      <c r="BV15" s="22"/>
      <c r="BW15" s="22"/>
      <c r="BX15" s="22"/>
      <c r="BY15" s="23"/>
      <c r="BZ15" s="24" t="str">
        <f ca="1">IF($AA$2="入れる",VLOOKUP(2,list,13,FALSE),"")</f>
        <v/>
      </c>
      <c r="CA15" s="24"/>
      <c r="CB15" s="24"/>
      <c r="CC15" s="24"/>
      <c r="CD15" s="21" t="str">
        <f ca="1">VLOOKUP(1,list,24,FALSE)</f>
        <v/>
      </c>
      <c r="CE15" s="22"/>
      <c r="CF15" s="22"/>
      <c r="CG15" s="22"/>
      <c r="CH15" s="23"/>
      <c r="CI15" s="24" t="str">
        <f ca="1">IF($AA$2="入れる",VLOOKUP(1,list,13,FALSE),"")</f>
        <v/>
      </c>
      <c r="CJ15" s="24"/>
      <c r="CK15" s="24"/>
      <c r="CL15" s="24"/>
      <c r="CM15" s="46" t="s">
        <v>28</v>
      </c>
      <c r="CN15" s="47"/>
      <c r="CO15" s="47"/>
      <c r="CP15" s="48"/>
      <c r="CX15" s="16"/>
    </row>
    <row r="16" spans="1:179" ht="18.75" x14ac:dyDescent="0.15">
      <c r="A16" s="33"/>
      <c r="B16" s="33"/>
      <c r="C16" s="33"/>
      <c r="D16" s="33"/>
      <c r="E16" s="33"/>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sheet="1" formatCells="0" selectLockedCells="1"/>
  <protectedRanges>
    <protectedRange sqref="EZ7:FF7 ET7:EX7" name="範囲2"/>
    <protectedRange sqref="EO1:EV1" name="範囲1"/>
    <protectedRange sqref="A2:B2" name="範囲1_1"/>
  </protectedRanges>
  <mergeCells count="250">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F12:I12"/>
    <mergeCell ref="J12:N12"/>
    <mergeCell ref="F15:I15"/>
    <mergeCell ref="F8:I8"/>
    <mergeCell ref="J11:N11"/>
    <mergeCell ref="A16:E16"/>
    <mergeCell ref="A14:E14"/>
    <mergeCell ref="A13:E13"/>
    <mergeCell ref="A15:E15"/>
    <mergeCell ref="F14:I14"/>
    <mergeCell ref="J14:N14"/>
    <mergeCell ref="J13:N13"/>
    <mergeCell ref="BU15:BY15"/>
    <mergeCell ref="BU14:BY14"/>
    <mergeCell ref="AK15:AO15"/>
    <mergeCell ref="AY13:BB13"/>
    <mergeCell ref="AP14:AS14"/>
    <mergeCell ref="AT15:AX15"/>
    <mergeCell ref="BC14:BG14"/>
    <mergeCell ref="BC15:BG15"/>
    <mergeCell ref="BQ14:BT14"/>
    <mergeCell ref="BQ15:BT15"/>
    <mergeCell ref="BC13:BG13"/>
    <mergeCell ref="AT14:AX14"/>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CD9:CH9"/>
    <mergeCell ref="BZ14:CC14"/>
    <mergeCell ref="BQ13:BT13"/>
    <mergeCell ref="CI10:CL10"/>
    <mergeCell ref="CI11:CL11"/>
    <mergeCell ref="CI12:CL12"/>
    <mergeCell ref="CI13:CL13"/>
    <mergeCell ref="CD14:CH14"/>
    <mergeCell ref="CD12:CH12"/>
    <mergeCell ref="CD10:CH10"/>
    <mergeCell ref="BL11:BP11"/>
    <mergeCell ref="BL12:BP12"/>
    <mergeCell ref="BL13:BP13"/>
    <mergeCell ref="BL14:BP14"/>
    <mergeCell ref="BU13:BY13"/>
    <mergeCell ref="BQ10:BT10"/>
    <mergeCell ref="BQ11:BT11"/>
    <mergeCell ref="BQ12:BT12"/>
    <mergeCell ref="BU11:BY11"/>
    <mergeCell ref="BU10:BY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110" zoomScaleNormal="110" workbookViewId="0">
      <selection activeCell="P4" sqref="P4"/>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64" t="str">
        <f>B27</f>
        <v>帳</v>
      </c>
      <c r="C2" s="68" t="str">
        <f>B28</f>
        <v>代</v>
      </c>
      <c r="D2" s="68" t="str">
        <f>B29</f>
        <v>曲</v>
      </c>
      <c r="E2" s="68" t="str">
        <f>B30</f>
        <v>投</v>
      </c>
      <c r="F2" s="68" t="str">
        <f>B31</f>
        <v>炭</v>
      </c>
      <c r="G2" s="68" t="str">
        <f>B32</f>
        <v>羊</v>
      </c>
      <c r="H2" s="68" t="str">
        <f>B33</f>
        <v>宿</v>
      </c>
      <c r="I2" s="68" t="str">
        <f>B34</f>
        <v>丁</v>
      </c>
      <c r="J2" s="68" t="s">
        <v>79</v>
      </c>
      <c r="K2" s="58" t="s">
        <v>80</v>
      </c>
      <c r="L2" s="58" t="s">
        <v>81</v>
      </c>
      <c r="M2" s="58" t="s">
        <v>82</v>
      </c>
      <c r="N2" s="58" t="s">
        <v>83</v>
      </c>
      <c r="O2" s="58" t="s">
        <v>84</v>
      </c>
      <c r="P2" s="60" t="s">
        <v>85</v>
      </c>
    </row>
    <row r="3" spans="1:16" thickBot="1" x14ac:dyDescent="0.2">
      <c r="B3" s="65"/>
      <c r="C3" s="69"/>
      <c r="D3" s="69"/>
      <c r="E3" s="69"/>
      <c r="F3" s="69"/>
      <c r="G3" s="69"/>
      <c r="H3" s="69"/>
      <c r="I3" s="69"/>
      <c r="J3" s="69"/>
      <c r="K3" s="59"/>
      <c r="L3" s="59"/>
      <c r="M3" s="59"/>
      <c r="N3" s="59"/>
      <c r="O3" s="59"/>
      <c r="P3" s="61"/>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62">
        <v>1</v>
      </c>
      <c r="B6" s="70" t="s">
        <v>37</v>
      </c>
      <c r="C6" s="71"/>
      <c r="D6" s="72"/>
      <c r="E6" s="66">
        <f>LEN(B6)</f>
        <v>9</v>
      </c>
      <c r="F6" s="9" t="str">
        <f>MID(B6,1,1)</f>
        <v>メ</v>
      </c>
      <c r="G6" s="10" t="str">
        <f>MID(B6,2,1)</f>
        <v>モ</v>
      </c>
      <c r="H6" s="10" t="str">
        <f>MID(B6,3,1)</f>
        <v>帳</v>
      </c>
      <c r="I6" s="10" t="str">
        <f>MID(B6,4,1)</f>
        <v>に</v>
      </c>
      <c r="J6" s="10" t="str">
        <f>MID(B6,5,1)</f>
        <v>宿</v>
      </c>
      <c r="K6" s="10" t="str">
        <f>MID(B6,6,1)</f>
        <v>題</v>
      </c>
      <c r="L6" s="10" t="str">
        <f>MID(B6,7,1)</f>
        <v>を</v>
      </c>
      <c r="M6" s="10" t="str">
        <f>MID(B6,8,1)</f>
        <v>書</v>
      </c>
      <c r="N6" s="10" t="str">
        <f>MID(B6,9,1)</f>
        <v>く</v>
      </c>
      <c r="O6" s="10" t="str">
        <f>MID(B6,10,1)</f>
        <v/>
      </c>
      <c r="P6" s="11" t="str">
        <f>MID(B6,11,1)</f>
        <v/>
      </c>
    </row>
    <row r="7" spans="1:16" thickBot="1" x14ac:dyDescent="0.2">
      <c r="A7" s="63"/>
      <c r="B7" s="73"/>
      <c r="C7" s="74"/>
      <c r="D7" s="75"/>
      <c r="E7" s="67"/>
      <c r="F7" s="12"/>
      <c r="G7" s="13"/>
      <c r="H7" s="13" t="s">
        <v>47</v>
      </c>
      <c r="I7" s="13"/>
      <c r="J7" s="13" t="s">
        <v>48</v>
      </c>
      <c r="K7" s="13" t="s">
        <v>49</v>
      </c>
      <c r="L7" s="13"/>
      <c r="M7" s="13" t="s">
        <v>50</v>
      </c>
      <c r="N7" s="13"/>
      <c r="O7" s="13"/>
      <c r="P7" s="14"/>
    </row>
    <row r="8" spans="1:16" ht="15" x14ac:dyDescent="0.15">
      <c r="A8" s="62">
        <v>2</v>
      </c>
      <c r="B8" s="76" t="s">
        <v>38</v>
      </c>
      <c r="C8" s="74"/>
      <c r="D8" s="75"/>
      <c r="E8" s="66">
        <f>LEN(B8)</f>
        <v>10</v>
      </c>
      <c r="F8" s="9" t="str">
        <f>MID(B8,1,1)</f>
        <v>千</v>
      </c>
      <c r="G8" s="10" t="str">
        <f>MID(B8,2,1)</f>
        <v>代</v>
      </c>
      <c r="H8" s="10" t="str">
        <f>MID(B8,3,1)</f>
        <v>紙</v>
      </c>
      <c r="I8" s="10" t="str">
        <f>MID(B8,4,1)</f>
        <v>の</v>
      </c>
      <c r="J8" s="10" t="str">
        <f>MID(B8,5,1)</f>
        <v>代</v>
      </c>
      <c r="K8" s="10" t="str">
        <f>MID(B8,6,1)</f>
        <v>金</v>
      </c>
      <c r="L8" s="10" t="str">
        <f>MID(B8,7,1)</f>
        <v>を</v>
      </c>
      <c r="M8" s="10" t="str">
        <f>MID(B8,8,1)</f>
        <v>は</v>
      </c>
      <c r="N8" s="10" t="str">
        <f>MID(B8,9,1)</f>
        <v>ら</v>
      </c>
      <c r="O8" s="10" t="str">
        <f>MID(B8,10,1)</f>
        <v>う</v>
      </c>
      <c r="P8" s="11" t="str">
        <f>MID(B8,11,1)</f>
        <v/>
      </c>
    </row>
    <row r="9" spans="1:16" thickBot="1" x14ac:dyDescent="0.2">
      <c r="A9" s="63"/>
      <c r="B9" s="73"/>
      <c r="C9" s="74"/>
      <c r="D9" s="75"/>
      <c r="E9" s="67"/>
      <c r="F9" s="12" t="s">
        <v>51</v>
      </c>
      <c r="G9" s="13" t="s">
        <v>52</v>
      </c>
      <c r="H9" s="13" t="s">
        <v>53</v>
      </c>
      <c r="I9" s="13"/>
      <c r="J9" s="13" t="s">
        <v>49</v>
      </c>
      <c r="K9" s="13" t="s">
        <v>54</v>
      </c>
      <c r="L9" s="13"/>
      <c r="M9" s="13"/>
      <c r="N9" s="13"/>
      <c r="O9" s="13"/>
      <c r="P9" s="14"/>
    </row>
    <row r="10" spans="1:16" ht="15" x14ac:dyDescent="0.15">
      <c r="A10" s="62">
        <v>3</v>
      </c>
      <c r="B10" s="76" t="s">
        <v>39</v>
      </c>
      <c r="C10" s="74"/>
      <c r="D10" s="75"/>
      <c r="E10" s="66">
        <f>LEN(B10)</f>
        <v>10</v>
      </c>
      <c r="F10" s="9" t="str">
        <f>MID(B10,1,1)</f>
        <v>投</v>
      </c>
      <c r="G10" s="10" t="str">
        <f>MID(B10,2,1)</f>
        <v>げ</v>
      </c>
      <c r="H10" s="10" t="str">
        <f>MID(B10,3,1)</f>
        <v>た</v>
      </c>
      <c r="I10" s="10" t="str">
        <f>MID(B10,4,1)</f>
        <v>ボ</v>
      </c>
      <c r="J10" s="10" t="str">
        <f>MID(B10,5,1)</f>
        <v>ー</v>
      </c>
      <c r="K10" s="10" t="str">
        <f>MID(B10,6,1)</f>
        <v>ル</v>
      </c>
      <c r="L10" s="10" t="str">
        <f>MID(B10,7,1)</f>
        <v>が</v>
      </c>
      <c r="M10" s="10" t="str">
        <f>MID(B10,8,1)</f>
        <v>曲</v>
      </c>
      <c r="N10" s="10" t="str">
        <f>MID(B10,9,1)</f>
        <v>が</v>
      </c>
      <c r="O10" s="10" t="str">
        <f>MID(B10,10,1)</f>
        <v>る</v>
      </c>
      <c r="P10" s="11" t="str">
        <f>MID(B10,11,1)</f>
        <v/>
      </c>
    </row>
    <row r="11" spans="1:16" thickBot="1" x14ac:dyDescent="0.2">
      <c r="A11" s="63"/>
      <c r="B11" s="73"/>
      <c r="C11" s="74"/>
      <c r="D11" s="75"/>
      <c r="E11" s="67"/>
      <c r="F11" s="12" t="s">
        <v>55</v>
      </c>
      <c r="G11" s="13"/>
      <c r="H11" s="13"/>
      <c r="I11" s="13"/>
      <c r="J11" s="13"/>
      <c r="K11" s="13"/>
      <c r="L11" s="13"/>
      <c r="M11" s="13" t="s">
        <v>56</v>
      </c>
      <c r="N11" s="13"/>
      <c r="O11" s="13"/>
      <c r="P11" s="14"/>
    </row>
    <row r="12" spans="1:16" ht="15" x14ac:dyDescent="0.15">
      <c r="A12" s="62">
        <v>4</v>
      </c>
      <c r="B12" s="76" t="s">
        <v>40</v>
      </c>
      <c r="C12" s="74"/>
      <c r="D12" s="75"/>
      <c r="E12" s="66">
        <f>LEN(B12)</f>
        <v>10</v>
      </c>
      <c r="F12" s="9" t="str">
        <f>MID(B12,1,1)</f>
        <v>作</v>
      </c>
      <c r="G12" s="10" t="str">
        <f>MID(B12,2,1)</f>
        <v>曲</v>
      </c>
      <c r="H12" s="10" t="str">
        <f>MID(B12,3,1)</f>
        <v>家</v>
      </c>
      <c r="I12" s="10" t="str">
        <f>MID(B12,4,1)</f>
        <v>が</v>
      </c>
      <c r="J12" s="10" t="str">
        <f>MID(B12,5,1)</f>
        <v>雨</v>
      </c>
      <c r="K12" s="10" t="str">
        <f>MID(B12,6,1)</f>
        <v>宿</v>
      </c>
      <c r="L12" s="10" t="str">
        <f>MID(B12,7,1)</f>
        <v>り</v>
      </c>
      <c r="M12" s="10" t="str">
        <f>MID(B12,8,1)</f>
        <v>を</v>
      </c>
      <c r="N12" s="10" t="str">
        <f>MID(B12,9,1)</f>
        <v>す</v>
      </c>
      <c r="O12" s="10" t="str">
        <f>MID(B12,10,1)</f>
        <v>る</v>
      </c>
      <c r="P12" s="11" t="str">
        <f>MID(B12,11,1)</f>
        <v/>
      </c>
    </row>
    <row r="13" spans="1:16" thickBot="1" x14ac:dyDescent="0.2">
      <c r="A13" s="63"/>
      <c r="B13" s="73"/>
      <c r="C13" s="74"/>
      <c r="D13" s="75"/>
      <c r="E13" s="67"/>
      <c r="F13" s="12" t="s">
        <v>57</v>
      </c>
      <c r="G13" s="13" t="s">
        <v>58</v>
      </c>
      <c r="H13" s="13" t="s">
        <v>50</v>
      </c>
      <c r="I13" s="13"/>
      <c r="J13" s="13" t="s">
        <v>59</v>
      </c>
      <c r="K13" s="13" t="s">
        <v>60</v>
      </c>
      <c r="L13" s="13"/>
      <c r="M13" s="13"/>
      <c r="N13" s="13"/>
      <c r="O13" s="13"/>
      <c r="P13" s="14"/>
    </row>
    <row r="14" spans="1:16" ht="15" x14ac:dyDescent="0.15">
      <c r="A14" s="62">
        <v>5</v>
      </c>
      <c r="B14" s="76" t="s">
        <v>41</v>
      </c>
      <c r="C14" s="74"/>
      <c r="D14" s="75"/>
      <c r="E14" s="66">
        <f>LEN(B14)</f>
        <v>11</v>
      </c>
      <c r="F14" s="9" t="str">
        <f>MID(B14,1,1)</f>
        <v>昼</v>
      </c>
      <c r="G14" s="10" t="str">
        <f>MID(B14,2,1)</f>
        <v>食</v>
      </c>
      <c r="H14" s="10" t="str">
        <f>MID(B14,3,1)</f>
        <v>で</v>
      </c>
      <c r="I14" s="10" t="str">
        <f>MID(B14,4,1)</f>
        <v>と</v>
      </c>
      <c r="J14" s="10" t="str">
        <f>MID(B14,5,1)</f>
        <v>う</v>
      </c>
      <c r="K14" s="10" t="str">
        <f>MID(B14,6,1)</f>
        <v>ふ</v>
      </c>
      <c r="L14" s="10" t="str">
        <f>MID(B14,7,1)</f>
        <v>一</v>
      </c>
      <c r="M14" s="10" t="str">
        <f>MID(B14,8,1)</f>
        <v>丁</v>
      </c>
      <c r="N14" s="10" t="str">
        <f>MID(B14,9,1)</f>
        <v>食</v>
      </c>
      <c r="O14" s="10" t="str">
        <f>MID(B14,10,1)</f>
        <v>べ</v>
      </c>
      <c r="P14" s="11" t="str">
        <f>MID(B14,11,1)</f>
        <v>る</v>
      </c>
    </row>
    <row r="15" spans="1:16" thickBot="1" x14ac:dyDescent="0.2">
      <c r="A15" s="63"/>
      <c r="B15" s="73"/>
      <c r="C15" s="74"/>
      <c r="D15" s="75"/>
      <c r="E15" s="67"/>
      <c r="F15" s="12" t="s">
        <v>61</v>
      </c>
      <c r="G15" s="13" t="s">
        <v>62</v>
      </c>
      <c r="H15" s="13"/>
      <c r="I15" s="13"/>
      <c r="J15" s="13"/>
      <c r="K15" s="13"/>
      <c r="L15" s="13" t="s">
        <v>63</v>
      </c>
      <c r="M15" s="13" t="s">
        <v>47</v>
      </c>
      <c r="N15" s="13" t="s">
        <v>64</v>
      </c>
      <c r="O15" s="13"/>
      <c r="P15" s="14"/>
    </row>
    <row r="16" spans="1:16" ht="15" x14ac:dyDescent="0.15">
      <c r="A16" s="62">
        <v>6</v>
      </c>
      <c r="B16" s="76" t="s">
        <v>42</v>
      </c>
      <c r="C16" s="74"/>
      <c r="D16" s="75"/>
      <c r="E16" s="66">
        <f>LEN(B16)</f>
        <v>9</v>
      </c>
      <c r="F16" s="9" t="str">
        <f>MID(B16,1,1)</f>
        <v>羊</v>
      </c>
      <c r="G16" s="10" t="str">
        <f>MID(B16,2,1)</f>
        <v>の</v>
      </c>
      <c r="H16" s="10" t="str">
        <f>MID(B16,3,1)</f>
        <v>肉</v>
      </c>
      <c r="I16" s="10" t="str">
        <f>MID(B16,4,1)</f>
        <v>を</v>
      </c>
      <c r="J16" s="10" t="str">
        <f>MID(B16,5,1)</f>
        <v>炭</v>
      </c>
      <c r="K16" s="10" t="str">
        <f>MID(B16,6,1)</f>
        <v>火</v>
      </c>
      <c r="L16" s="10" t="str">
        <f>MID(B16,7,1)</f>
        <v>で</v>
      </c>
      <c r="M16" s="10" t="str">
        <f>MID(B16,8,1)</f>
        <v>や</v>
      </c>
      <c r="N16" s="10" t="str">
        <f>MID(B16,9,1)</f>
        <v>く</v>
      </c>
      <c r="O16" s="10" t="str">
        <f>MID(B16,10,1)</f>
        <v/>
      </c>
      <c r="P16" s="11" t="str">
        <f>MID(B16,11,1)</f>
        <v/>
      </c>
    </row>
    <row r="17" spans="1:16" thickBot="1" x14ac:dyDescent="0.2">
      <c r="A17" s="63"/>
      <c r="B17" s="73"/>
      <c r="C17" s="74"/>
      <c r="D17" s="75"/>
      <c r="E17" s="67"/>
      <c r="F17" s="12" t="s">
        <v>65</v>
      </c>
      <c r="G17" s="13"/>
      <c r="H17" s="13" t="s">
        <v>66</v>
      </c>
      <c r="I17" s="13"/>
      <c r="J17" s="13" t="s">
        <v>67</v>
      </c>
      <c r="K17" s="13" t="s">
        <v>68</v>
      </c>
      <c r="L17" s="13"/>
      <c r="M17" s="13"/>
      <c r="N17" s="13"/>
      <c r="O17" s="13"/>
      <c r="P17" s="14"/>
    </row>
    <row r="18" spans="1:16" ht="15" x14ac:dyDescent="0.15">
      <c r="A18" s="62">
        <v>7</v>
      </c>
      <c r="B18" s="76" t="s">
        <v>43</v>
      </c>
      <c r="C18" s="74"/>
      <c r="D18" s="75"/>
      <c r="E18" s="66">
        <f>LEN(B18)</f>
        <v>7</v>
      </c>
      <c r="F18" s="9" t="str">
        <f>MID(B18,1,1)</f>
        <v>投</v>
      </c>
      <c r="G18" s="10" t="str">
        <f>MID(B18,2,1)</f>
        <v>手</v>
      </c>
      <c r="H18" s="10" t="str">
        <f>MID(B18,3,1)</f>
        <v>が</v>
      </c>
      <c r="I18" s="10" t="str">
        <f>MID(B18,4,1)</f>
        <v>交</v>
      </c>
      <c r="J18" s="10" t="str">
        <f>MID(B18,5,1)</f>
        <v>代</v>
      </c>
      <c r="K18" s="10" t="str">
        <f>MID(B18,6,1)</f>
        <v>す</v>
      </c>
      <c r="L18" s="10" t="str">
        <f>MID(B18,7,1)</f>
        <v>る</v>
      </c>
      <c r="M18" s="10" t="str">
        <f>MID(B18,8,1)</f>
        <v/>
      </c>
      <c r="N18" s="10" t="str">
        <f>MID(B18,9,1)</f>
        <v/>
      </c>
      <c r="O18" s="10" t="str">
        <f>MID(B18,10,1)</f>
        <v/>
      </c>
      <c r="P18" s="11" t="str">
        <f>MID(B18,11,1)</f>
        <v/>
      </c>
    </row>
    <row r="19" spans="1:16" thickBot="1" x14ac:dyDescent="0.2">
      <c r="A19" s="63"/>
      <c r="B19" s="73"/>
      <c r="C19" s="74"/>
      <c r="D19" s="75"/>
      <c r="E19" s="67"/>
      <c r="F19" s="12" t="s">
        <v>69</v>
      </c>
      <c r="G19" s="13" t="s">
        <v>70</v>
      </c>
      <c r="H19" s="13"/>
      <c r="I19" s="13" t="s">
        <v>71</v>
      </c>
      <c r="J19" s="13" t="s">
        <v>72</v>
      </c>
      <c r="K19" s="13"/>
      <c r="L19" s="13"/>
      <c r="M19" s="13"/>
      <c r="N19" s="13"/>
      <c r="O19" s="13"/>
      <c r="P19" s="14"/>
    </row>
    <row r="20" spans="1:16" ht="15" x14ac:dyDescent="0.15">
      <c r="A20" s="62">
        <v>8</v>
      </c>
      <c r="B20" s="76" t="s">
        <v>44</v>
      </c>
      <c r="C20" s="74"/>
      <c r="D20" s="75"/>
      <c r="E20" s="66">
        <f>LEN(B20)</f>
        <v>6</v>
      </c>
      <c r="F20" s="9" t="str">
        <f>MID(B20,1,1)</f>
        <v>石</v>
      </c>
      <c r="G20" s="10" t="str">
        <f>MID(B20,2,1)</f>
        <v>炭</v>
      </c>
      <c r="H20" s="10" t="str">
        <f>MID(B20,3,1)</f>
        <v>を</v>
      </c>
      <c r="I20" s="10" t="str">
        <f>MID(B20,4,1)</f>
        <v>も</v>
      </c>
      <c r="J20" s="10" t="str">
        <f>MID(B20,5,1)</f>
        <v>や</v>
      </c>
      <c r="K20" s="10" t="str">
        <f>MID(B20,6,1)</f>
        <v>す</v>
      </c>
      <c r="L20" s="10" t="str">
        <f>MID(B20,7,1)</f>
        <v/>
      </c>
      <c r="M20" s="10" t="str">
        <f>MID(B20,8,1)</f>
        <v/>
      </c>
      <c r="N20" s="10" t="str">
        <f>MID(B20,9,1)</f>
        <v/>
      </c>
      <c r="O20" s="10" t="str">
        <f>MID(B20,10,1)</f>
        <v/>
      </c>
      <c r="P20" s="11" t="str">
        <f>MID(B20,11,1)</f>
        <v/>
      </c>
    </row>
    <row r="21" spans="1:16" thickBot="1" x14ac:dyDescent="0.2">
      <c r="A21" s="63"/>
      <c r="B21" s="73"/>
      <c r="C21" s="74"/>
      <c r="D21" s="75"/>
      <c r="E21" s="67"/>
      <c r="F21" s="12" t="s">
        <v>73</v>
      </c>
      <c r="G21" s="13" t="s">
        <v>74</v>
      </c>
      <c r="H21" s="13"/>
      <c r="I21" s="13"/>
      <c r="J21" s="13"/>
      <c r="K21" s="13"/>
      <c r="L21" s="13"/>
      <c r="M21" s="13"/>
      <c r="N21" s="13"/>
      <c r="O21" s="13"/>
      <c r="P21" s="14"/>
    </row>
    <row r="22" spans="1:16" ht="15" x14ac:dyDescent="0.15">
      <c r="A22" s="62">
        <v>9</v>
      </c>
      <c r="B22" s="76" t="s">
        <v>45</v>
      </c>
      <c r="C22" s="74"/>
      <c r="D22" s="75"/>
      <c r="E22" s="66">
        <f>LEN(B22)</f>
        <v>7</v>
      </c>
      <c r="F22" s="9" t="str">
        <f>MID(B22,1,1)</f>
        <v>羊</v>
      </c>
      <c r="G22" s="10" t="str">
        <f>MID(B22,2,1)</f>
        <v>毛</v>
      </c>
      <c r="H22" s="10" t="str">
        <f>MID(B22,3,1)</f>
        <v>の</v>
      </c>
      <c r="I22" s="10" t="str">
        <f>MID(B22,4,1)</f>
        <v>セ</v>
      </c>
      <c r="J22" s="10" t="str">
        <f>MID(B22,5,1)</f>
        <v>ー</v>
      </c>
      <c r="K22" s="10" t="str">
        <f>MID(B22,6,1)</f>
        <v>タ</v>
      </c>
      <c r="L22" s="10" t="str">
        <f>MID(B22,7,1)</f>
        <v>ー</v>
      </c>
      <c r="M22" s="10" t="str">
        <f>MID(B22,8,1)</f>
        <v/>
      </c>
      <c r="N22" s="10" t="str">
        <f>MID(B22,9,1)</f>
        <v/>
      </c>
      <c r="O22" s="10" t="str">
        <f>MID(B22,10,1)</f>
        <v/>
      </c>
      <c r="P22" s="11" t="str">
        <f>MID(B22,11,1)</f>
        <v/>
      </c>
    </row>
    <row r="23" spans="1:16" thickBot="1" x14ac:dyDescent="0.2">
      <c r="A23" s="63"/>
      <c r="B23" s="73"/>
      <c r="C23" s="74"/>
      <c r="D23" s="75"/>
      <c r="E23" s="67"/>
      <c r="F23" s="12" t="s">
        <v>75</v>
      </c>
      <c r="G23" s="13" t="s">
        <v>76</v>
      </c>
      <c r="H23" s="13"/>
      <c r="I23" s="13"/>
      <c r="J23" s="13"/>
      <c r="K23" s="13"/>
      <c r="L23" s="13"/>
      <c r="M23" s="13"/>
      <c r="N23" s="13"/>
      <c r="O23" s="13"/>
      <c r="P23" s="14"/>
    </row>
    <row r="24" spans="1:16" ht="15" x14ac:dyDescent="0.15">
      <c r="A24" s="62">
        <v>10</v>
      </c>
      <c r="B24" s="76" t="s">
        <v>46</v>
      </c>
      <c r="C24" s="74"/>
      <c r="D24" s="75"/>
      <c r="E24" s="66">
        <f>LEN(B24)</f>
        <v>8</v>
      </c>
      <c r="F24" s="9" t="str">
        <f>MID(B24,1,1)</f>
        <v>母</v>
      </c>
      <c r="G24" s="10" t="str">
        <f>MID(B24,2,1)</f>
        <v>の</v>
      </c>
      <c r="H24" s="10" t="str">
        <f>MID(B24,3,1)</f>
        <v>代</v>
      </c>
      <c r="I24" s="10" t="str">
        <f>MID(B24,4,1)</f>
        <v>わ</v>
      </c>
      <c r="J24" s="10" t="str">
        <f>MID(B24,5,1)</f>
        <v>り</v>
      </c>
      <c r="K24" s="10" t="str">
        <f>MID(B24,6,1)</f>
        <v>に</v>
      </c>
      <c r="L24" s="10" t="str">
        <f>MID(B24,7,1)</f>
        <v>行</v>
      </c>
      <c r="M24" s="10" t="str">
        <f>MID(B24,8,1)</f>
        <v>く</v>
      </c>
      <c r="N24" s="10" t="str">
        <f>MID(B24,9,1)</f>
        <v/>
      </c>
      <c r="O24" s="10" t="str">
        <f>MID(B24,10,1)</f>
        <v/>
      </c>
      <c r="P24" s="11" t="str">
        <f>MID(B24,11,1)</f>
        <v/>
      </c>
    </row>
    <row r="25" spans="1:16" thickBot="1" x14ac:dyDescent="0.2">
      <c r="A25" s="63"/>
      <c r="B25" s="77"/>
      <c r="C25" s="78"/>
      <c r="D25" s="79"/>
      <c r="E25" s="67"/>
      <c r="F25" s="12" t="s">
        <v>77</v>
      </c>
      <c r="G25" s="13"/>
      <c r="H25" s="13" t="s">
        <v>50</v>
      </c>
      <c r="I25" s="13"/>
      <c r="J25" s="13"/>
      <c r="K25" s="13"/>
      <c r="L25" s="13" t="s">
        <v>78</v>
      </c>
      <c r="M25" s="13"/>
      <c r="N25" s="13"/>
      <c r="O25" s="13"/>
      <c r="P25" s="14"/>
    </row>
    <row r="27" spans="1:16" ht="24" x14ac:dyDescent="0.15">
      <c r="B27" s="20" t="s">
        <v>29</v>
      </c>
    </row>
    <row r="28" spans="1:16" ht="24" x14ac:dyDescent="0.15">
      <c r="B28" s="20" t="s">
        <v>30</v>
      </c>
    </row>
    <row r="29" spans="1:16" ht="24" x14ac:dyDescent="0.15">
      <c r="B29" s="20" t="s">
        <v>31</v>
      </c>
    </row>
    <row r="30" spans="1:16" ht="24" x14ac:dyDescent="0.15">
      <c r="B30" s="20" t="s">
        <v>32</v>
      </c>
    </row>
    <row r="31" spans="1:16" ht="24" x14ac:dyDescent="0.15">
      <c r="B31" s="20" t="s">
        <v>33</v>
      </c>
    </row>
    <row r="32" spans="1:16" ht="24" x14ac:dyDescent="0.15">
      <c r="B32" s="20" t="s">
        <v>34</v>
      </c>
    </row>
    <row r="33" spans="2:41" ht="24" x14ac:dyDescent="0.15">
      <c r="B33" s="20" t="s">
        <v>35</v>
      </c>
    </row>
    <row r="34" spans="2:41" ht="24" x14ac:dyDescent="0.15">
      <c r="B34" s="20" t="s">
        <v>36</v>
      </c>
    </row>
    <row r="39" spans="2:41" hidden="1" x14ac:dyDescent="0.15">
      <c r="Q39" s="1">
        <f ca="1">RAND()</f>
        <v>0.59614704352086756</v>
      </c>
      <c r="R39" s="1">
        <f ca="1">IF(印刷シート!$EB$2="する",RANK(Q39,$Q$39:$Q$48,0),1)</f>
        <v>3</v>
      </c>
      <c r="S39" s="15" t="str">
        <f>B2</f>
        <v>帳</v>
      </c>
      <c r="T39" s="1" t="str">
        <f t="shared" ref="T39:AD39" si="0">IF(F7="","",F7)</f>
        <v/>
      </c>
      <c r="U39" s="1" t="str">
        <f t="shared" si="0"/>
        <v/>
      </c>
      <c r="V39" s="1" t="str">
        <f t="shared" si="0"/>
        <v>ちょう</v>
      </c>
      <c r="W39" s="1" t="str">
        <f t="shared" si="0"/>
        <v/>
      </c>
      <c r="X39" s="1" t="str">
        <f t="shared" si="0"/>
        <v>しゅく</v>
      </c>
      <c r="Y39" s="1" t="str">
        <f t="shared" si="0"/>
        <v>だい</v>
      </c>
      <c r="Z39" s="1" t="str">
        <f t="shared" si="0"/>
        <v/>
      </c>
      <c r="AA39" s="1" t="str">
        <f t="shared" si="0"/>
        <v>か</v>
      </c>
      <c r="AB39" s="1" t="str">
        <f t="shared" si="0"/>
        <v/>
      </c>
      <c r="AC39" s="1" t="str">
        <f t="shared" si="0"/>
        <v/>
      </c>
      <c r="AD39" s="1" t="str">
        <f t="shared" si="0"/>
        <v/>
      </c>
      <c r="AE39" s="1" t="str">
        <f t="shared" ref="AE39:AO39" si="1">IF(F6="","",F6)</f>
        <v>メ</v>
      </c>
      <c r="AF39" s="1" t="str">
        <f t="shared" si="1"/>
        <v>モ</v>
      </c>
      <c r="AG39" s="1" t="str">
        <f t="shared" si="1"/>
        <v>帳</v>
      </c>
      <c r="AH39" s="1" t="str">
        <f t="shared" si="1"/>
        <v>に</v>
      </c>
      <c r="AI39" s="1" t="str">
        <f t="shared" si="1"/>
        <v>宿</v>
      </c>
      <c r="AJ39" s="1" t="str">
        <f t="shared" si="1"/>
        <v>題</v>
      </c>
      <c r="AK39" s="1" t="str">
        <f t="shared" si="1"/>
        <v>を</v>
      </c>
      <c r="AL39" s="1" t="str">
        <f t="shared" si="1"/>
        <v>書</v>
      </c>
      <c r="AM39" s="1" t="str">
        <f t="shared" si="1"/>
        <v>く</v>
      </c>
      <c r="AN39" s="1" t="str">
        <f t="shared" si="1"/>
        <v/>
      </c>
      <c r="AO39" s="1" t="str">
        <f t="shared" si="1"/>
        <v/>
      </c>
    </row>
    <row r="40" spans="2:41" hidden="1" x14ac:dyDescent="0.15">
      <c r="Q40" s="1">
        <f t="shared" ref="Q40:Q48" ca="1" si="2">RAND()</f>
        <v>0.3442903296469294</v>
      </c>
      <c r="R40" s="1">
        <f ca="1">IF(印刷シート!$EB$2="する",RANK(Q40,$Q$39:$Q$48,0),2)</f>
        <v>5</v>
      </c>
      <c r="S40" s="15" t="str">
        <f>C2</f>
        <v>代</v>
      </c>
      <c r="T40" s="1" t="str">
        <f t="shared" ref="T40:AD40" si="3">IF(F9="","",F9)</f>
        <v>ち</v>
      </c>
      <c r="U40" s="1" t="str">
        <f t="shared" si="3"/>
        <v>よ</v>
      </c>
      <c r="V40" s="1" t="str">
        <f t="shared" si="3"/>
        <v>がみ</v>
      </c>
      <c r="W40" s="1" t="str">
        <f t="shared" si="3"/>
        <v/>
      </c>
      <c r="X40" s="1" t="str">
        <f t="shared" si="3"/>
        <v>だい</v>
      </c>
      <c r="Y40" s="1" t="str">
        <f t="shared" si="3"/>
        <v>きん</v>
      </c>
      <c r="Z40" s="1" t="str">
        <f t="shared" si="3"/>
        <v/>
      </c>
      <c r="AA40" s="1" t="str">
        <f t="shared" si="3"/>
        <v/>
      </c>
      <c r="AB40" s="1" t="str">
        <f t="shared" si="3"/>
        <v/>
      </c>
      <c r="AC40" s="1" t="str">
        <f t="shared" si="3"/>
        <v/>
      </c>
      <c r="AD40" s="1" t="str">
        <f t="shared" si="3"/>
        <v/>
      </c>
      <c r="AE40" s="1" t="str">
        <f t="shared" ref="AE40:AO40" si="4">IF(F8="","",F8)</f>
        <v>千</v>
      </c>
      <c r="AF40" s="1" t="str">
        <f t="shared" si="4"/>
        <v>代</v>
      </c>
      <c r="AG40" s="1" t="str">
        <f t="shared" si="4"/>
        <v>紙</v>
      </c>
      <c r="AH40" s="1" t="str">
        <f t="shared" si="4"/>
        <v>の</v>
      </c>
      <c r="AI40" s="1" t="str">
        <f t="shared" si="4"/>
        <v>代</v>
      </c>
      <c r="AJ40" s="1" t="str">
        <f t="shared" si="4"/>
        <v>金</v>
      </c>
      <c r="AK40" s="1" t="str">
        <f t="shared" si="4"/>
        <v>を</v>
      </c>
      <c r="AL40" s="1" t="str">
        <f t="shared" si="4"/>
        <v>は</v>
      </c>
      <c r="AM40" s="1" t="str">
        <f t="shared" si="4"/>
        <v>ら</v>
      </c>
      <c r="AN40" s="1" t="str">
        <f t="shared" si="4"/>
        <v>う</v>
      </c>
      <c r="AO40" s="1" t="str">
        <f t="shared" si="4"/>
        <v/>
      </c>
    </row>
    <row r="41" spans="2:41" hidden="1" x14ac:dyDescent="0.15">
      <c r="Q41" s="1">
        <f t="shared" ca="1" si="2"/>
        <v>9.9257047291018141E-3</v>
      </c>
      <c r="R41" s="1">
        <f ca="1">IF(印刷シート!$EB$2="する",RANK(Q41,$Q$39:$Q$48,0),3)</f>
        <v>9</v>
      </c>
      <c r="S41" s="15" t="str">
        <f>D2</f>
        <v>曲</v>
      </c>
      <c r="T41" s="1" t="str">
        <f t="shared" ref="T41:AD41" si="5">IF(F11="","",F11)</f>
        <v>な</v>
      </c>
      <c r="U41" s="1" t="str">
        <f t="shared" si="5"/>
        <v/>
      </c>
      <c r="V41" s="1" t="str">
        <f t="shared" si="5"/>
        <v/>
      </c>
      <c r="W41" s="1" t="str">
        <f t="shared" si="5"/>
        <v/>
      </c>
      <c r="X41" s="1" t="str">
        <f t="shared" si="5"/>
        <v/>
      </c>
      <c r="Y41" s="1" t="str">
        <f t="shared" si="5"/>
        <v/>
      </c>
      <c r="Z41" s="1" t="str">
        <f t="shared" si="5"/>
        <v/>
      </c>
      <c r="AA41" s="1" t="str">
        <f t="shared" si="5"/>
        <v>ま</v>
      </c>
      <c r="AB41" s="1" t="str">
        <f t="shared" si="5"/>
        <v/>
      </c>
      <c r="AC41" s="1" t="str">
        <f t="shared" si="5"/>
        <v/>
      </c>
      <c r="AD41" s="1" t="str">
        <f t="shared" si="5"/>
        <v/>
      </c>
      <c r="AE41" s="1" t="str">
        <f t="shared" ref="AE41:AO41" si="6">IF(F10="","",F10)</f>
        <v>投</v>
      </c>
      <c r="AF41" s="1" t="str">
        <f t="shared" si="6"/>
        <v>げ</v>
      </c>
      <c r="AG41" s="1" t="str">
        <f t="shared" si="6"/>
        <v>た</v>
      </c>
      <c r="AH41" s="1" t="str">
        <f t="shared" si="6"/>
        <v>ボ</v>
      </c>
      <c r="AI41" s="1" t="str">
        <f t="shared" si="6"/>
        <v>ー</v>
      </c>
      <c r="AJ41" s="1" t="str">
        <f t="shared" si="6"/>
        <v>ル</v>
      </c>
      <c r="AK41" s="1" t="str">
        <f t="shared" si="6"/>
        <v>が</v>
      </c>
      <c r="AL41" s="1" t="str">
        <f t="shared" si="6"/>
        <v>曲</v>
      </c>
      <c r="AM41" s="1" t="str">
        <f t="shared" si="6"/>
        <v>が</v>
      </c>
      <c r="AN41" s="1" t="str">
        <f t="shared" si="6"/>
        <v>る</v>
      </c>
      <c r="AO41" s="1" t="str">
        <f t="shared" si="6"/>
        <v/>
      </c>
    </row>
    <row r="42" spans="2:41" hidden="1" x14ac:dyDescent="0.15">
      <c r="Q42" s="1">
        <f t="shared" ca="1" si="2"/>
        <v>0.10984579563944374</v>
      </c>
      <c r="R42" s="1">
        <f ca="1">IF(印刷シート!$EB$2="する",RANK(Q42,$Q$39:$Q$48,0),4)</f>
        <v>7</v>
      </c>
      <c r="S42" s="15" t="str">
        <f>E2</f>
        <v>投</v>
      </c>
      <c r="T42" s="1" t="str">
        <f t="shared" ref="T42:AD42" si="7">IF(F13="","",F13)</f>
        <v>さっ</v>
      </c>
      <c r="U42" s="1" t="str">
        <f t="shared" si="7"/>
        <v>きょく</v>
      </c>
      <c r="V42" s="1" t="str">
        <f t="shared" si="7"/>
        <v>か</v>
      </c>
      <c r="W42" s="1" t="str">
        <f t="shared" si="7"/>
        <v/>
      </c>
      <c r="X42" s="1" t="str">
        <f t="shared" si="7"/>
        <v>あま</v>
      </c>
      <c r="Y42" s="1" t="str">
        <f t="shared" si="7"/>
        <v>やど</v>
      </c>
      <c r="Z42" s="1" t="str">
        <f t="shared" si="7"/>
        <v/>
      </c>
      <c r="AA42" s="1" t="str">
        <f t="shared" si="7"/>
        <v/>
      </c>
      <c r="AB42" s="1" t="str">
        <f t="shared" si="7"/>
        <v/>
      </c>
      <c r="AC42" s="1" t="str">
        <f t="shared" si="7"/>
        <v/>
      </c>
      <c r="AD42" s="1" t="str">
        <f t="shared" si="7"/>
        <v/>
      </c>
      <c r="AE42" s="1" t="str">
        <f t="shared" ref="AE42:AO42" si="8">IF(F12="","",F12)</f>
        <v>作</v>
      </c>
      <c r="AF42" s="1" t="str">
        <f t="shared" si="8"/>
        <v>曲</v>
      </c>
      <c r="AG42" s="1" t="str">
        <f t="shared" si="8"/>
        <v>家</v>
      </c>
      <c r="AH42" s="1" t="str">
        <f t="shared" si="8"/>
        <v>が</v>
      </c>
      <c r="AI42" s="1" t="str">
        <f t="shared" si="8"/>
        <v>雨</v>
      </c>
      <c r="AJ42" s="1" t="str">
        <f t="shared" si="8"/>
        <v>宿</v>
      </c>
      <c r="AK42" s="1" t="str">
        <f t="shared" si="8"/>
        <v>り</v>
      </c>
      <c r="AL42" s="1" t="str">
        <f t="shared" si="8"/>
        <v>を</v>
      </c>
      <c r="AM42" s="1" t="str">
        <f t="shared" si="8"/>
        <v>す</v>
      </c>
      <c r="AN42" s="1" t="str">
        <f t="shared" si="8"/>
        <v>る</v>
      </c>
      <c r="AO42" s="1" t="str">
        <f t="shared" si="8"/>
        <v/>
      </c>
    </row>
    <row r="43" spans="2:41" hidden="1" x14ac:dyDescent="0.15">
      <c r="Q43" s="1">
        <f t="shared" ca="1" si="2"/>
        <v>0.28227585676876354</v>
      </c>
      <c r="R43" s="1">
        <f ca="1">IF(印刷シート!$EB$2="する",RANK(Q43,$Q$39:$Q$48,0),5)</f>
        <v>6</v>
      </c>
      <c r="S43" s="15" t="str">
        <f>F2</f>
        <v>炭</v>
      </c>
      <c r="T43" s="1" t="str">
        <f t="shared" ref="T43:AD43" si="9">IF(F15="","",F15)</f>
        <v>ちゅう</v>
      </c>
      <c r="U43" s="1" t="str">
        <f t="shared" si="9"/>
        <v>しょく</v>
      </c>
      <c r="V43" s="1" t="str">
        <f t="shared" si="9"/>
        <v/>
      </c>
      <c r="W43" s="1" t="str">
        <f t="shared" si="9"/>
        <v/>
      </c>
      <c r="X43" s="1" t="str">
        <f t="shared" si="9"/>
        <v/>
      </c>
      <c r="Y43" s="1" t="str">
        <f t="shared" si="9"/>
        <v/>
      </c>
      <c r="Z43" s="1" t="str">
        <f t="shared" si="9"/>
        <v>いっ</v>
      </c>
      <c r="AA43" s="1" t="str">
        <f t="shared" si="9"/>
        <v>ちょう</v>
      </c>
      <c r="AB43" s="1" t="str">
        <f t="shared" si="9"/>
        <v>た</v>
      </c>
      <c r="AC43" s="1" t="str">
        <f t="shared" si="9"/>
        <v/>
      </c>
      <c r="AD43" s="1" t="str">
        <f t="shared" si="9"/>
        <v/>
      </c>
      <c r="AE43" s="1" t="str">
        <f t="shared" ref="AE43:AO43" si="10">IF(F14="","",F14)</f>
        <v>昼</v>
      </c>
      <c r="AF43" s="1" t="str">
        <f t="shared" si="10"/>
        <v>食</v>
      </c>
      <c r="AG43" s="1" t="str">
        <f t="shared" si="10"/>
        <v>で</v>
      </c>
      <c r="AH43" s="1" t="str">
        <f t="shared" si="10"/>
        <v>と</v>
      </c>
      <c r="AI43" s="1" t="str">
        <f t="shared" si="10"/>
        <v>う</v>
      </c>
      <c r="AJ43" s="1" t="str">
        <f t="shared" si="10"/>
        <v>ふ</v>
      </c>
      <c r="AK43" s="1" t="str">
        <f t="shared" si="10"/>
        <v>一</v>
      </c>
      <c r="AL43" s="1" t="str">
        <f t="shared" si="10"/>
        <v>丁</v>
      </c>
      <c r="AM43" s="1" t="str">
        <f t="shared" si="10"/>
        <v>食</v>
      </c>
      <c r="AN43" s="1" t="str">
        <f t="shared" si="10"/>
        <v>べ</v>
      </c>
      <c r="AO43" s="1" t="str">
        <f t="shared" si="10"/>
        <v>る</v>
      </c>
    </row>
    <row r="44" spans="2:41" hidden="1" x14ac:dyDescent="0.15">
      <c r="Q44" s="1">
        <f t="shared" ca="1" si="2"/>
        <v>3.1584998685874055E-3</v>
      </c>
      <c r="R44" s="1">
        <f ca="1">IF(印刷シート!$EB$2="する",RANK(Q44,$Q$39:$Q$48,0),6)</f>
        <v>10</v>
      </c>
      <c r="S44" s="15" t="str">
        <f>G2</f>
        <v>羊</v>
      </c>
      <c r="T44" s="1" t="str">
        <f t="shared" ref="T44:AD44" si="11">IF(F17="","",F17)</f>
        <v>ひつじ</v>
      </c>
      <c r="U44" s="1" t="str">
        <f t="shared" si="11"/>
        <v/>
      </c>
      <c r="V44" s="1" t="str">
        <f t="shared" si="11"/>
        <v>にく</v>
      </c>
      <c r="W44" s="1" t="str">
        <f t="shared" si="11"/>
        <v/>
      </c>
      <c r="X44" s="1" t="str">
        <f t="shared" si="11"/>
        <v>すみ</v>
      </c>
      <c r="Y44" s="1" t="str">
        <f t="shared" si="11"/>
        <v>び</v>
      </c>
      <c r="Z44" s="1" t="str">
        <f t="shared" si="11"/>
        <v/>
      </c>
      <c r="AA44" s="1" t="str">
        <f t="shared" si="11"/>
        <v/>
      </c>
      <c r="AB44" s="1" t="str">
        <f t="shared" si="11"/>
        <v/>
      </c>
      <c r="AC44" s="1" t="str">
        <f t="shared" si="11"/>
        <v/>
      </c>
      <c r="AD44" s="1" t="str">
        <f t="shared" si="11"/>
        <v/>
      </c>
      <c r="AE44" s="1" t="str">
        <f t="shared" ref="AE44:AO44" si="12">IF(F16="","",F16)</f>
        <v>羊</v>
      </c>
      <c r="AF44" s="1" t="str">
        <f t="shared" si="12"/>
        <v>の</v>
      </c>
      <c r="AG44" s="1" t="str">
        <f t="shared" si="12"/>
        <v>肉</v>
      </c>
      <c r="AH44" s="1" t="str">
        <f t="shared" si="12"/>
        <v>を</v>
      </c>
      <c r="AI44" s="1" t="str">
        <f t="shared" si="12"/>
        <v>炭</v>
      </c>
      <c r="AJ44" s="1" t="str">
        <f t="shared" si="12"/>
        <v>火</v>
      </c>
      <c r="AK44" s="1" t="str">
        <f t="shared" si="12"/>
        <v>で</v>
      </c>
      <c r="AL44" s="1" t="str">
        <f t="shared" si="12"/>
        <v>や</v>
      </c>
      <c r="AM44" s="1" t="str">
        <f t="shared" si="12"/>
        <v>く</v>
      </c>
      <c r="AN44" s="1" t="str">
        <f t="shared" si="12"/>
        <v/>
      </c>
      <c r="AO44" s="1" t="str">
        <f t="shared" si="12"/>
        <v/>
      </c>
    </row>
    <row r="45" spans="2:41" hidden="1" x14ac:dyDescent="0.15">
      <c r="Q45" s="1">
        <f t="shared" ca="1" si="2"/>
        <v>0.91467436108352718</v>
      </c>
      <c r="R45" s="1">
        <f ca="1">IF(印刷シート!$EB$2="する",RANK(Q45,$Q$39:$Q$48,0),7)</f>
        <v>2</v>
      </c>
      <c r="S45" s="15" t="str">
        <f>H2</f>
        <v>宿</v>
      </c>
      <c r="T45" s="1" t="str">
        <f t="shared" ref="T45:AD45" si="13">IF(F19="","",F19)</f>
        <v>とう</v>
      </c>
      <c r="U45" s="1" t="str">
        <f t="shared" si="13"/>
        <v>しゅ</v>
      </c>
      <c r="V45" s="1" t="str">
        <f t="shared" si="13"/>
        <v/>
      </c>
      <c r="W45" s="1" t="str">
        <f t="shared" si="13"/>
        <v>こう</v>
      </c>
      <c r="X45" s="1" t="str">
        <f t="shared" si="13"/>
        <v>たい</v>
      </c>
      <c r="Y45" s="1" t="str">
        <f t="shared" si="13"/>
        <v/>
      </c>
      <c r="Z45" s="1" t="str">
        <f t="shared" si="13"/>
        <v/>
      </c>
      <c r="AA45" s="1" t="str">
        <f t="shared" si="13"/>
        <v/>
      </c>
      <c r="AB45" s="1" t="str">
        <f t="shared" si="13"/>
        <v/>
      </c>
      <c r="AC45" s="1" t="str">
        <f t="shared" si="13"/>
        <v/>
      </c>
      <c r="AD45" s="1" t="str">
        <f t="shared" si="13"/>
        <v/>
      </c>
      <c r="AE45" s="1" t="str">
        <f t="shared" ref="AE45:AO45" si="14">IF(F18="","",F18)</f>
        <v>投</v>
      </c>
      <c r="AF45" s="1" t="str">
        <f t="shared" si="14"/>
        <v>手</v>
      </c>
      <c r="AG45" s="1" t="str">
        <f t="shared" si="14"/>
        <v>が</v>
      </c>
      <c r="AH45" s="1" t="str">
        <f t="shared" si="14"/>
        <v>交</v>
      </c>
      <c r="AI45" s="1" t="str">
        <f t="shared" si="14"/>
        <v>代</v>
      </c>
      <c r="AJ45" s="1" t="str">
        <f t="shared" si="14"/>
        <v>す</v>
      </c>
      <c r="AK45" s="1" t="str">
        <f t="shared" si="14"/>
        <v>る</v>
      </c>
      <c r="AL45" s="1" t="str">
        <f t="shared" si="14"/>
        <v/>
      </c>
      <c r="AM45" s="1" t="str">
        <f t="shared" si="14"/>
        <v/>
      </c>
      <c r="AN45" s="1" t="str">
        <f t="shared" si="14"/>
        <v/>
      </c>
      <c r="AO45" s="1" t="str">
        <f t="shared" si="14"/>
        <v/>
      </c>
    </row>
    <row r="46" spans="2:41" hidden="1" x14ac:dyDescent="0.15">
      <c r="Q46" s="1">
        <f t="shared" ca="1" si="2"/>
        <v>6.4567698676326613E-2</v>
      </c>
      <c r="R46" s="1">
        <f ca="1">IF(印刷シート!$EB$2="する",RANK(Q46,$Q$39:$Q$48,0),8)</f>
        <v>8</v>
      </c>
      <c r="S46" s="15" t="str">
        <f>I2</f>
        <v>丁</v>
      </c>
      <c r="T46" s="1" t="str">
        <f t="shared" ref="T46:AD46" si="15">IF(F21="","",F21)</f>
        <v>せき</v>
      </c>
      <c r="U46" s="1" t="str">
        <f t="shared" si="15"/>
        <v>たん</v>
      </c>
      <c r="V46" s="1" t="str">
        <f t="shared" si="15"/>
        <v/>
      </c>
      <c r="W46" s="1" t="str">
        <f t="shared" si="15"/>
        <v/>
      </c>
      <c r="X46" s="1" t="str">
        <f t="shared" si="15"/>
        <v/>
      </c>
      <c r="Y46" s="1" t="str">
        <f t="shared" si="15"/>
        <v/>
      </c>
      <c r="Z46" s="1" t="str">
        <f t="shared" si="15"/>
        <v/>
      </c>
      <c r="AA46" s="1" t="str">
        <f t="shared" si="15"/>
        <v/>
      </c>
      <c r="AB46" s="1" t="str">
        <f t="shared" si="15"/>
        <v/>
      </c>
      <c r="AC46" s="1" t="str">
        <f t="shared" si="15"/>
        <v/>
      </c>
      <c r="AD46" s="1" t="str">
        <f t="shared" si="15"/>
        <v/>
      </c>
      <c r="AE46" s="1" t="str">
        <f t="shared" ref="AE46:AO46" si="16">IF(F20="","",F20)</f>
        <v>石</v>
      </c>
      <c r="AF46" s="1" t="str">
        <f t="shared" si="16"/>
        <v>炭</v>
      </c>
      <c r="AG46" s="1" t="str">
        <f t="shared" si="16"/>
        <v>を</v>
      </c>
      <c r="AH46" s="1" t="str">
        <f t="shared" si="16"/>
        <v>も</v>
      </c>
      <c r="AI46" s="1" t="str">
        <f t="shared" si="16"/>
        <v>や</v>
      </c>
      <c r="AJ46" s="1" t="str">
        <f t="shared" si="16"/>
        <v>す</v>
      </c>
      <c r="AK46" s="1" t="str">
        <f t="shared" si="16"/>
        <v/>
      </c>
      <c r="AL46" s="1" t="str">
        <f t="shared" si="16"/>
        <v/>
      </c>
      <c r="AM46" s="1" t="str">
        <f t="shared" si="16"/>
        <v/>
      </c>
      <c r="AN46" s="1" t="str">
        <f t="shared" si="16"/>
        <v/>
      </c>
      <c r="AO46" s="1" t="str">
        <f t="shared" si="16"/>
        <v/>
      </c>
    </row>
    <row r="47" spans="2:41" hidden="1" x14ac:dyDescent="0.15">
      <c r="Q47" s="1">
        <f t="shared" ca="1" si="2"/>
        <v>0.44168312932844278</v>
      </c>
      <c r="R47" s="1">
        <f ca="1">IF(印刷シート!$EB$2="する",RANK(Q47,$Q$39:$Q$48,0),9)</f>
        <v>4</v>
      </c>
      <c r="S47" s="15" t="str">
        <f>J2</f>
        <v>昼</v>
      </c>
      <c r="T47" s="1" t="str">
        <f t="shared" ref="T47:AD47" si="17">IF(F23="","",F23)</f>
        <v>よう</v>
      </c>
      <c r="U47" s="1" t="str">
        <f t="shared" si="17"/>
        <v>もう</v>
      </c>
      <c r="V47" s="1" t="str">
        <f t="shared" si="17"/>
        <v/>
      </c>
      <c r="W47" s="1" t="str">
        <f t="shared" si="17"/>
        <v/>
      </c>
      <c r="X47" s="1" t="str">
        <f t="shared" si="17"/>
        <v/>
      </c>
      <c r="Y47" s="1" t="str">
        <f t="shared" si="17"/>
        <v/>
      </c>
      <c r="Z47" s="1" t="str">
        <f t="shared" si="17"/>
        <v/>
      </c>
      <c r="AA47" s="1" t="str">
        <f t="shared" si="17"/>
        <v/>
      </c>
      <c r="AB47" s="1" t="str">
        <f t="shared" si="17"/>
        <v/>
      </c>
      <c r="AC47" s="1" t="str">
        <f t="shared" si="17"/>
        <v/>
      </c>
      <c r="AD47" s="1" t="str">
        <f t="shared" si="17"/>
        <v/>
      </c>
      <c r="AE47" s="1" t="str">
        <f t="shared" ref="AE47:AO47" si="18">IF(F22="","",F22)</f>
        <v>羊</v>
      </c>
      <c r="AF47" s="1" t="str">
        <f t="shared" si="18"/>
        <v>毛</v>
      </c>
      <c r="AG47" s="1" t="str">
        <f t="shared" si="18"/>
        <v>の</v>
      </c>
      <c r="AH47" s="1" t="str">
        <f t="shared" si="18"/>
        <v>セ</v>
      </c>
      <c r="AI47" s="1" t="str">
        <f t="shared" si="18"/>
        <v>ー</v>
      </c>
      <c r="AJ47" s="1" t="str">
        <f t="shared" si="18"/>
        <v>タ</v>
      </c>
      <c r="AK47" s="1" t="str">
        <f t="shared" si="18"/>
        <v>ー</v>
      </c>
      <c r="AL47" s="1" t="str">
        <f t="shared" si="18"/>
        <v/>
      </c>
      <c r="AM47" s="1" t="str">
        <f t="shared" si="18"/>
        <v/>
      </c>
      <c r="AN47" s="1" t="str">
        <f t="shared" si="18"/>
        <v/>
      </c>
      <c r="AO47" s="1" t="str">
        <f t="shared" si="18"/>
        <v/>
      </c>
    </row>
    <row r="48" spans="2:41" hidden="1" x14ac:dyDescent="0.15">
      <c r="Q48" s="1">
        <f t="shared" ca="1" si="2"/>
        <v>0.99559446289139208</v>
      </c>
      <c r="R48" s="1">
        <f ca="1">IF(印刷シート!$EB$2="する",RANK(Q48,$Q$39:$Q$48,0),10)</f>
        <v>1</v>
      </c>
      <c r="S48" s="15" t="str">
        <f>K2</f>
        <v>食</v>
      </c>
      <c r="T48" s="1" t="str">
        <f t="shared" ref="T48:AD48" si="19">IF(F25="","",F25)</f>
        <v>はは</v>
      </c>
      <c r="U48" s="1" t="str">
        <f t="shared" si="19"/>
        <v/>
      </c>
      <c r="V48" s="1" t="str">
        <f t="shared" si="19"/>
        <v>か</v>
      </c>
      <c r="W48" s="1" t="str">
        <f t="shared" si="19"/>
        <v/>
      </c>
      <c r="X48" s="1" t="str">
        <f t="shared" si="19"/>
        <v/>
      </c>
      <c r="Y48" s="1" t="str">
        <f t="shared" si="19"/>
        <v/>
      </c>
      <c r="Z48" s="1" t="str">
        <f t="shared" si="19"/>
        <v>い</v>
      </c>
      <c r="AA48" s="1" t="str">
        <f t="shared" si="19"/>
        <v/>
      </c>
      <c r="AB48" s="1" t="str">
        <f t="shared" si="19"/>
        <v/>
      </c>
      <c r="AC48" s="1" t="str">
        <f t="shared" si="19"/>
        <v/>
      </c>
      <c r="AD48" s="1" t="str">
        <f t="shared" si="19"/>
        <v/>
      </c>
      <c r="AE48" s="1" t="str">
        <f t="shared" ref="AE48:AO48" si="20">IF(F24="","",F24)</f>
        <v>母</v>
      </c>
      <c r="AF48" s="1" t="str">
        <f t="shared" si="20"/>
        <v>の</v>
      </c>
      <c r="AG48" s="1" t="str">
        <f t="shared" si="20"/>
        <v>代</v>
      </c>
      <c r="AH48" s="1" t="str">
        <f t="shared" si="20"/>
        <v>わ</v>
      </c>
      <c r="AI48" s="1" t="str">
        <f t="shared" si="20"/>
        <v>り</v>
      </c>
      <c r="AJ48" s="1" t="str">
        <f t="shared" si="20"/>
        <v>に</v>
      </c>
      <c r="AK48" s="1" t="str">
        <f t="shared" si="20"/>
        <v>行</v>
      </c>
      <c r="AL48" s="1" t="str">
        <f t="shared" si="20"/>
        <v>く</v>
      </c>
      <c r="AM48" s="1" t="str">
        <f t="shared" si="20"/>
        <v/>
      </c>
      <c r="AN48" s="1" t="str">
        <f t="shared" si="20"/>
        <v/>
      </c>
      <c r="AO48" s="1" t="str">
        <f t="shared" si="20"/>
        <v/>
      </c>
    </row>
    <row r="49" hidden="1" x14ac:dyDescent="0.15"/>
    <row r="50" hidden="1" x14ac:dyDescent="0.15"/>
    <row r="51" hidden="1" x14ac:dyDescent="0.15"/>
  </sheetData>
  <sheetProtection selectLockedCells="1"/>
  <mergeCells count="45">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6:A7"/>
    <mergeCell ref="B2:B3"/>
    <mergeCell ref="E6:E7"/>
    <mergeCell ref="A8:A9"/>
    <mergeCell ref="C2:C3"/>
    <mergeCell ref="E8:E9"/>
    <mergeCell ref="B6:D7"/>
    <mergeCell ref="B8:D9"/>
    <mergeCell ref="L2:L3"/>
    <mergeCell ref="M2:M3"/>
    <mergeCell ref="N2:N3"/>
    <mergeCell ref="O2:O3"/>
    <mergeCell ref="P2:P3"/>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0"/>
      <c r="D1" s="81"/>
      <c r="E1" s="81"/>
      <c r="F1" s="81"/>
      <c r="G1" s="81"/>
      <c r="H1" s="82"/>
    </row>
    <row r="2" spans="1:8" ht="63" customHeight="1" x14ac:dyDescent="0.15">
      <c r="A2" t="s">
        <v>14</v>
      </c>
      <c r="B2" t="s">
        <v>15</v>
      </c>
      <c r="C2" s="80"/>
      <c r="D2" s="81"/>
      <c r="E2" s="81"/>
      <c r="F2" s="81"/>
      <c r="G2" s="81"/>
      <c r="H2" s="82"/>
    </row>
    <row r="3" spans="1:8" ht="63" customHeight="1" x14ac:dyDescent="0.15">
      <c r="A3" t="s">
        <v>16</v>
      </c>
      <c r="B3" t="s">
        <v>17</v>
      </c>
      <c r="C3" s="80"/>
      <c r="D3" s="81"/>
      <c r="E3" s="81"/>
      <c r="F3" s="81"/>
      <c r="G3" s="81"/>
      <c r="H3" s="82"/>
    </row>
    <row r="4" spans="1:8" ht="63" customHeight="1" x14ac:dyDescent="0.15">
      <c r="A4" t="s">
        <v>18</v>
      </c>
      <c r="B4" t="s">
        <v>19</v>
      </c>
      <c r="C4" s="80"/>
      <c r="D4" s="81"/>
      <c r="E4" s="81"/>
      <c r="F4" s="81"/>
      <c r="G4" s="81"/>
      <c r="H4" s="82"/>
    </row>
    <row r="5" spans="1:8" ht="63" customHeight="1" x14ac:dyDescent="0.15">
      <c r="A5" t="s">
        <v>20</v>
      </c>
      <c r="B5" t="s">
        <v>21</v>
      </c>
      <c r="C5" s="80"/>
      <c r="D5" s="81"/>
      <c r="E5" s="81"/>
      <c r="F5" s="81"/>
      <c r="G5" s="81"/>
      <c r="H5" s="82"/>
    </row>
    <row r="6" spans="1:8" ht="63" customHeight="1" x14ac:dyDescent="0.15">
      <c r="A6" t="s">
        <v>22</v>
      </c>
      <c r="B6" t="s">
        <v>23</v>
      </c>
      <c r="C6" s="80"/>
      <c r="D6" s="81"/>
      <c r="E6" s="81"/>
      <c r="F6" s="81"/>
      <c r="G6" s="81"/>
      <c r="H6" s="82"/>
    </row>
    <row r="7" spans="1:8" ht="63" customHeight="1" x14ac:dyDescent="0.15">
      <c r="A7" t="s">
        <v>24</v>
      </c>
      <c r="B7" t="s">
        <v>25</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家 中尾</cp:lastModifiedBy>
  <cp:lastPrinted>2024-09-04T21:07:36Z</cp:lastPrinted>
  <dcterms:created xsi:type="dcterms:W3CDTF">2011-08-04T02:55:31Z</dcterms:created>
  <dcterms:modified xsi:type="dcterms:W3CDTF">2024-09-04T21:17:54Z</dcterms:modified>
</cp:coreProperties>
</file>